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11235"/>
  </bookViews>
  <sheets>
    <sheet name="Мероприятия" sheetId="1" r:id="rId1"/>
  </sheets>
  <definedNames>
    <definedName name="_xlnm._FilterDatabase" localSheetId="0" hidden="1">Мероприятия!$B$1:$B$741</definedName>
    <definedName name="ReportDate">TODAY()</definedName>
    <definedName name="ReportRespondent">"Н/Д"</definedName>
    <definedName name="ReportStatus">"Н/Д"</definedName>
  </definedNames>
  <calcPr calcId="152511"/>
</workbook>
</file>

<file path=xl/calcChain.xml><?xml version="1.0" encoding="utf-8"?>
<calcChain xmlns="http://schemas.openxmlformats.org/spreadsheetml/2006/main">
  <c r="J468" i="1"/>
  <c r="J469"/>
  <c r="J470"/>
  <c r="E628"/>
  <c r="E608"/>
  <c r="E468"/>
  <c r="E467"/>
  <c r="E627"/>
  <c r="D15"/>
  <c r="D10"/>
  <c r="G10"/>
  <c r="J27"/>
  <c r="F30"/>
  <c r="D30"/>
  <c r="F17"/>
  <c r="E18"/>
  <c r="E17"/>
  <c r="F18"/>
  <c r="D18"/>
  <c r="D17"/>
  <c r="G17"/>
  <c r="J26"/>
  <c r="J22"/>
  <c r="F22"/>
  <c r="E23"/>
  <c r="E22"/>
  <c r="F23"/>
  <c r="D23"/>
  <c r="J990"/>
  <c r="J989"/>
  <c r="J988"/>
  <c r="J910"/>
  <c r="J909"/>
  <c r="J908"/>
  <c r="J907"/>
  <c r="J840"/>
  <c r="J839"/>
  <c r="J838"/>
  <c r="J790"/>
  <c r="J789"/>
  <c r="J788"/>
  <c r="J740"/>
  <c r="J739"/>
  <c r="J741"/>
  <c r="J738"/>
  <c r="J655"/>
  <c r="J654"/>
  <c r="J653"/>
  <c r="J656"/>
  <c r="J610"/>
  <c r="J609"/>
  <c r="J608"/>
  <c r="J611"/>
  <c r="J535"/>
  <c r="J534"/>
  <c r="J533"/>
  <c r="J532"/>
  <c r="J475"/>
  <c r="J474"/>
  <c r="J473"/>
  <c r="J405"/>
  <c r="J404"/>
  <c r="J403"/>
  <c r="J370"/>
  <c r="J369"/>
  <c r="J371"/>
  <c r="J368"/>
  <c r="J355"/>
  <c r="J354"/>
  <c r="J353"/>
  <c r="J356"/>
  <c r="J325"/>
  <c r="J324"/>
  <c r="J323"/>
  <c r="J310"/>
  <c r="J309"/>
  <c r="J308"/>
  <c r="J290"/>
  <c r="J289"/>
  <c r="J291"/>
  <c r="J288"/>
  <c r="J225"/>
  <c r="J224"/>
  <c r="J223"/>
  <c r="J226"/>
  <c r="J40"/>
  <c r="J39"/>
  <c r="J38"/>
  <c r="J65"/>
  <c r="J64"/>
  <c r="J63"/>
  <c r="J90"/>
  <c r="J89"/>
  <c r="J91"/>
  <c r="J88"/>
  <c r="J150"/>
  <c r="J149"/>
  <c r="J148"/>
  <c r="J147"/>
  <c r="J33"/>
  <c r="J472"/>
  <c r="J207"/>
  <c r="J211"/>
  <c r="J197"/>
  <c r="J201"/>
  <c r="J186"/>
  <c r="F632"/>
  <c r="J841"/>
  <c r="F198"/>
  <c r="F197"/>
  <c r="E198"/>
  <c r="E197"/>
  <c r="J1031"/>
  <c r="G1031"/>
  <c r="G1030"/>
  <c r="G1029"/>
  <c r="G1028"/>
  <c r="F1027"/>
  <c r="E1027"/>
  <c r="D1027"/>
  <c r="G1027"/>
  <c r="G1026"/>
  <c r="G1025"/>
  <c r="G1024"/>
  <c r="G1023"/>
  <c r="F1022"/>
  <c r="E1022"/>
  <c r="D1022"/>
  <c r="J1021"/>
  <c r="F1021"/>
  <c r="E1021"/>
  <c r="D1021"/>
  <c r="G1021"/>
  <c r="G1020"/>
  <c r="F1020"/>
  <c r="E1020"/>
  <c r="F1019"/>
  <c r="E1019"/>
  <c r="D1019"/>
  <c r="F1018"/>
  <c r="E1018"/>
  <c r="D1018"/>
  <c r="D1017"/>
  <c r="G1016"/>
  <c r="G1015"/>
  <c r="G1014"/>
  <c r="G1013"/>
  <c r="F1012"/>
  <c r="E1012"/>
  <c r="D1012"/>
  <c r="G1011"/>
  <c r="G1010"/>
  <c r="G1009"/>
  <c r="G1008"/>
  <c r="F1007"/>
  <c r="E1007"/>
  <c r="D1007"/>
  <c r="G1007"/>
  <c r="G1006"/>
  <c r="G1005"/>
  <c r="G1004"/>
  <c r="G1003"/>
  <c r="F1002"/>
  <c r="E1002"/>
  <c r="D1002"/>
  <c r="G1002"/>
  <c r="G1001"/>
  <c r="G1000"/>
  <c r="G999"/>
  <c r="G998"/>
  <c r="F997"/>
  <c r="E997"/>
  <c r="D997"/>
  <c r="G996"/>
  <c r="G995"/>
  <c r="G994"/>
  <c r="D993"/>
  <c r="G993"/>
  <c r="F992"/>
  <c r="E992"/>
  <c r="D992"/>
  <c r="J991"/>
  <c r="F991"/>
  <c r="F906"/>
  <c r="E991"/>
  <c r="D991"/>
  <c r="G990"/>
  <c r="F990"/>
  <c r="E990"/>
  <c r="F989"/>
  <c r="E989"/>
  <c r="D989"/>
  <c r="F988"/>
  <c r="E988"/>
  <c r="D988"/>
  <c r="G986"/>
  <c r="G985"/>
  <c r="G984"/>
  <c r="G983"/>
  <c r="F982"/>
  <c r="E982"/>
  <c r="D982"/>
  <c r="G982"/>
  <c r="G981"/>
  <c r="G980"/>
  <c r="G979"/>
  <c r="G978"/>
  <c r="F977"/>
  <c r="E977"/>
  <c r="D977"/>
  <c r="G976"/>
  <c r="G975"/>
  <c r="G974"/>
  <c r="G973"/>
  <c r="F972"/>
  <c r="E972"/>
  <c r="D972"/>
  <c r="G971"/>
  <c r="G970"/>
  <c r="G969"/>
  <c r="G968"/>
  <c r="F967"/>
  <c r="E967"/>
  <c r="D967"/>
  <c r="G966"/>
  <c r="G965"/>
  <c r="G964"/>
  <c r="G963"/>
  <c r="F962"/>
  <c r="E962"/>
  <c r="D962"/>
  <c r="G961"/>
  <c r="G960"/>
  <c r="G959"/>
  <c r="G958"/>
  <c r="F957"/>
  <c r="E957"/>
  <c r="D957"/>
  <c r="G957"/>
  <c r="G956"/>
  <c r="G955"/>
  <c r="G954"/>
  <c r="G953"/>
  <c r="F952"/>
  <c r="E952"/>
  <c r="D952"/>
  <c r="G952"/>
  <c r="G951"/>
  <c r="G950"/>
  <c r="G949"/>
  <c r="G948"/>
  <c r="F947"/>
  <c r="E947"/>
  <c r="D947"/>
  <c r="G946"/>
  <c r="G945"/>
  <c r="G944"/>
  <c r="G943"/>
  <c r="F942"/>
  <c r="E942"/>
  <c r="D942"/>
  <c r="G941"/>
  <c r="G940"/>
  <c r="G939"/>
  <c r="G938"/>
  <c r="F937"/>
  <c r="E937"/>
  <c r="D937"/>
  <c r="G936"/>
  <c r="G935"/>
  <c r="G934"/>
  <c r="D933"/>
  <c r="G933"/>
  <c r="F932"/>
  <c r="E932"/>
  <c r="G931"/>
  <c r="G930"/>
  <c r="G929"/>
  <c r="D928"/>
  <c r="G928"/>
  <c r="F927"/>
  <c r="E927"/>
  <c r="G926"/>
  <c r="G925"/>
  <c r="G924"/>
  <c r="D923"/>
  <c r="G923"/>
  <c r="F922"/>
  <c r="E922"/>
  <c r="D922"/>
  <c r="G922"/>
  <c r="G921"/>
  <c r="G920"/>
  <c r="G919"/>
  <c r="D918"/>
  <c r="F917"/>
  <c r="E917"/>
  <c r="D917"/>
  <c r="G917"/>
  <c r="G916"/>
  <c r="G915"/>
  <c r="G914"/>
  <c r="D913"/>
  <c r="G913"/>
  <c r="F912"/>
  <c r="E912"/>
  <c r="F911"/>
  <c r="E911"/>
  <c r="E906"/>
  <c r="D911"/>
  <c r="G911"/>
  <c r="G910"/>
  <c r="F910"/>
  <c r="F907"/>
  <c r="E910"/>
  <c r="F909"/>
  <c r="E909"/>
  <c r="D909"/>
  <c r="G909"/>
  <c r="F908"/>
  <c r="E908"/>
  <c r="G905"/>
  <c r="D901"/>
  <c r="G901"/>
  <c r="G900"/>
  <c r="G899"/>
  <c r="G898"/>
  <c r="F897"/>
  <c r="E897"/>
  <c r="D896"/>
  <c r="D892"/>
  <c r="G895"/>
  <c r="G894"/>
  <c r="G893"/>
  <c r="F892"/>
  <c r="G892"/>
  <c r="E892"/>
  <c r="D891"/>
  <c r="D887"/>
  <c r="G890"/>
  <c r="G889"/>
  <c r="G888"/>
  <c r="F887"/>
  <c r="E887"/>
  <c r="D886"/>
  <c r="D882"/>
  <c r="G885"/>
  <c r="G884"/>
  <c r="G883"/>
  <c r="F882"/>
  <c r="E882"/>
  <c r="D881"/>
  <c r="D877"/>
  <c r="G877"/>
  <c r="G880"/>
  <c r="G879"/>
  <c r="G878"/>
  <c r="F877"/>
  <c r="E877"/>
  <c r="D876"/>
  <c r="G876"/>
  <c r="G875"/>
  <c r="G874"/>
  <c r="G873"/>
  <c r="F872"/>
  <c r="E872"/>
  <c r="D871"/>
  <c r="D867"/>
  <c r="G870"/>
  <c r="G869"/>
  <c r="G868"/>
  <c r="F867"/>
  <c r="G867"/>
  <c r="E867"/>
  <c r="D866"/>
  <c r="D862"/>
  <c r="G865"/>
  <c r="G864"/>
  <c r="G863"/>
  <c r="F862"/>
  <c r="E862"/>
  <c r="D861"/>
  <c r="G861"/>
  <c r="G860"/>
  <c r="G859"/>
  <c r="D858"/>
  <c r="D838"/>
  <c r="G858"/>
  <c r="F857"/>
  <c r="E857"/>
  <c r="D856"/>
  <c r="G856"/>
  <c r="G855"/>
  <c r="G854"/>
  <c r="G853"/>
  <c r="F852"/>
  <c r="E852"/>
  <c r="D851"/>
  <c r="G851"/>
  <c r="G850"/>
  <c r="G849"/>
  <c r="G848"/>
  <c r="F847"/>
  <c r="E847"/>
  <c r="D846"/>
  <c r="D842"/>
  <c r="G845"/>
  <c r="G844"/>
  <c r="G843"/>
  <c r="F842"/>
  <c r="E842"/>
  <c r="F841"/>
  <c r="E841"/>
  <c r="E786"/>
  <c r="G840"/>
  <c r="F840"/>
  <c r="E840"/>
  <c r="F839"/>
  <c r="F784"/>
  <c r="E839"/>
  <c r="D839"/>
  <c r="F838"/>
  <c r="E838"/>
  <c r="G836"/>
  <c r="G835"/>
  <c r="G834"/>
  <c r="G833"/>
  <c r="F832"/>
  <c r="E832"/>
  <c r="D832"/>
  <c r="G831"/>
  <c r="G830"/>
  <c r="G829"/>
  <c r="G828"/>
  <c r="F827"/>
  <c r="E827"/>
  <c r="D827"/>
  <c r="G827"/>
  <c r="G826"/>
  <c r="G825"/>
  <c r="G824"/>
  <c r="G823"/>
  <c r="F822"/>
  <c r="E822"/>
  <c r="D822"/>
  <c r="G822"/>
  <c r="G821"/>
  <c r="G820"/>
  <c r="G819"/>
  <c r="G818"/>
  <c r="F817"/>
  <c r="E817"/>
  <c r="D817"/>
  <c r="G816"/>
  <c r="G815"/>
  <c r="G814"/>
  <c r="G813"/>
  <c r="F812"/>
  <c r="E812"/>
  <c r="D812"/>
  <c r="G812"/>
  <c r="G811"/>
  <c r="G810"/>
  <c r="G809"/>
  <c r="G808"/>
  <c r="F807"/>
  <c r="E807"/>
  <c r="D807"/>
  <c r="G806"/>
  <c r="G805"/>
  <c r="G804"/>
  <c r="D803"/>
  <c r="G803"/>
  <c r="F802"/>
  <c r="E802"/>
  <c r="D802"/>
  <c r="G801"/>
  <c r="G800"/>
  <c r="G799"/>
  <c r="D798"/>
  <c r="D788"/>
  <c r="G798"/>
  <c r="F797"/>
  <c r="E797"/>
  <c r="D797"/>
  <c r="G796"/>
  <c r="G795"/>
  <c r="G794"/>
  <c r="G793"/>
  <c r="F792"/>
  <c r="E792"/>
  <c r="D792"/>
  <c r="G792"/>
  <c r="F791"/>
  <c r="E791"/>
  <c r="D791"/>
  <c r="G791"/>
  <c r="G790"/>
  <c r="F790"/>
  <c r="F785"/>
  <c r="E790"/>
  <c r="E787"/>
  <c r="F789"/>
  <c r="E789"/>
  <c r="E784"/>
  <c r="D789"/>
  <c r="G789"/>
  <c r="F788"/>
  <c r="E788"/>
  <c r="G785"/>
  <c r="G781"/>
  <c r="G780"/>
  <c r="G779"/>
  <c r="G778"/>
  <c r="F777"/>
  <c r="E777"/>
  <c r="D777"/>
  <c r="G777"/>
  <c r="G776"/>
  <c r="G775"/>
  <c r="G774"/>
  <c r="G773"/>
  <c r="F772"/>
  <c r="E772"/>
  <c r="D772"/>
  <c r="G771"/>
  <c r="G770"/>
  <c r="G769"/>
  <c r="G768"/>
  <c r="F767"/>
  <c r="E767"/>
  <c r="D767"/>
  <c r="G767"/>
  <c r="G766"/>
  <c r="G765"/>
  <c r="G764"/>
  <c r="G763"/>
  <c r="F762"/>
  <c r="E762"/>
  <c r="D762"/>
  <c r="G761"/>
  <c r="G760"/>
  <c r="G759"/>
  <c r="D758"/>
  <c r="F757"/>
  <c r="E757"/>
  <c r="G756"/>
  <c r="G755"/>
  <c r="G754"/>
  <c r="G753"/>
  <c r="F752"/>
  <c r="G752"/>
  <c r="E752"/>
  <c r="D752"/>
  <c r="G751"/>
  <c r="G750"/>
  <c r="G749"/>
  <c r="D748"/>
  <c r="G748"/>
  <c r="F747"/>
  <c r="E747"/>
  <c r="G746"/>
  <c r="G745"/>
  <c r="G744"/>
  <c r="G743"/>
  <c r="F742"/>
  <c r="E742"/>
  <c r="D742"/>
  <c r="G742"/>
  <c r="F741"/>
  <c r="E741"/>
  <c r="D741"/>
  <c r="G741"/>
  <c r="G740"/>
  <c r="F740"/>
  <c r="E740"/>
  <c r="F739"/>
  <c r="E739"/>
  <c r="D739"/>
  <c r="G739"/>
  <c r="F738"/>
  <c r="E738"/>
  <c r="G736"/>
  <c r="G735"/>
  <c r="G734"/>
  <c r="G733"/>
  <c r="F732"/>
  <c r="E732"/>
  <c r="D732"/>
  <c r="J731"/>
  <c r="F731"/>
  <c r="E731"/>
  <c r="D731"/>
  <c r="G731"/>
  <c r="G730"/>
  <c r="F730"/>
  <c r="E730"/>
  <c r="F729"/>
  <c r="E729"/>
  <c r="D729"/>
  <c r="G729"/>
  <c r="F728"/>
  <c r="E728"/>
  <c r="D728"/>
  <c r="G728"/>
  <c r="G726"/>
  <c r="G725"/>
  <c r="G724"/>
  <c r="G723"/>
  <c r="F722"/>
  <c r="E722"/>
  <c r="D722"/>
  <c r="G722"/>
  <c r="G721"/>
  <c r="G720"/>
  <c r="G719"/>
  <c r="G718"/>
  <c r="F717"/>
  <c r="G717"/>
  <c r="E717"/>
  <c r="D717"/>
  <c r="G716"/>
  <c r="G715"/>
  <c r="G714"/>
  <c r="D713"/>
  <c r="G713"/>
  <c r="F712"/>
  <c r="G712"/>
  <c r="E712"/>
  <c r="D712"/>
  <c r="G711"/>
  <c r="G710"/>
  <c r="G709"/>
  <c r="D708"/>
  <c r="G708"/>
  <c r="F707"/>
  <c r="G707"/>
  <c r="E707"/>
  <c r="D707"/>
  <c r="G706"/>
  <c r="G705"/>
  <c r="G704"/>
  <c r="G703"/>
  <c r="F702"/>
  <c r="E702"/>
  <c r="D702"/>
  <c r="G701"/>
  <c r="G700"/>
  <c r="G699"/>
  <c r="G698"/>
  <c r="F697"/>
  <c r="E697"/>
  <c r="D697"/>
  <c r="G696"/>
  <c r="G695"/>
  <c r="G694"/>
  <c r="G693"/>
  <c r="F692"/>
  <c r="E692"/>
  <c r="D692"/>
  <c r="G691"/>
  <c r="G690"/>
  <c r="G689"/>
  <c r="G688"/>
  <c r="F687"/>
  <c r="G687"/>
  <c r="E687"/>
  <c r="D687"/>
  <c r="G686"/>
  <c r="G685"/>
  <c r="G684"/>
  <c r="G683"/>
  <c r="F682"/>
  <c r="E682"/>
  <c r="D682"/>
  <c r="G682"/>
  <c r="G681"/>
  <c r="G680"/>
  <c r="G679"/>
  <c r="G678"/>
  <c r="F677"/>
  <c r="E677"/>
  <c r="D677"/>
  <c r="G676"/>
  <c r="G675"/>
  <c r="G674"/>
  <c r="G673"/>
  <c r="F672"/>
  <c r="E672"/>
  <c r="D672"/>
  <c r="G672"/>
  <c r="G671"/>
  <c r="G670"/>
  <c r="G669"/>
  <c r="G668"/>
  <c r="F667"/>
  <c r="E667"/>
  <c r="D667"/>
  <c r="G667"/>
  <c r="G666"/>
  <c r="G665"/>
  <c r="G664"/>
  <c r="G663"/>
  <c r="F662"/>
  <c r="E662"/>
  <c r="D662"/>
  <c r="G661"/>
  <c r="G660"/>
  <c r="G659"/>
  <c r="G658"/>
  <c r="F657"/>
  <c r="E657"/>
  <c r="D657"/>
  <c r="G657"/>
  <c r="F656"/>
  <c r="F651"/>
  <c r="E656"/>
  <c r="D656"/>
  <c r="G656"/>
  <c r="G655"/>
  <c r="F655"/>
  <c r="F650"/>
  <c r="F647"/>
  <c r="E655"/>
  <c r="F654"/>
  <c r="F649"/>
  <c r="E654"/>
  <c r="E649"/>
  <c r="D654"/>
  <c r="D649"/>
  <c r="F653"/>
  <c r="E653"/>
  <c r="D653"/>
  <c r="G650"/>
  <c r="J647"/>
  <c r="G646"/>
  <c r="G645"/>
  <c r="G644"/>
  <c r="G643"/>
  <c r="F642"/>
  <c r="E642"/>
  <c r="D642"/>
  <c r="G641"/>
  <c r="G640"/>
  <c r="G639"/>
  <c r="G638"/>
  <c r="F637"/>
  <c r="E637"/>
  <c r="D637"/>
  <c r="G637"/>
  <c r="G636"/>
  <c r="G635"/>
  <c r="D634"/>
  <c r="D633"/>
  <c r="D632"/>
  <c r="G632"/>
  <c r="E632"/>
  <c r="G631"/>
  <c r="G630"/>
  <c r="D629"/>
  <c r="G629"/>
  <c r="D628"/>
  <c r="F627"/>
  <c r="G626"/>
  <c r="G625"/>
  <c r="D624"/>
  <c r="G624"/>
  <c r="D623"/>
  <c r="F622"/>
  <c r="E622"/>
  <c r="G621"/>
  <c r="G620"/>
  <c r="G619"/>
  <c r="D618"/>
  <c r="G618"/>
  <c r="F617"/>
  <c r="E617"/>
  <c r="D617"/>
  <c r="G616"/>
  <c r="G615"/>
  <c r="D614"/>
  <c r="G614"/>
  <c r="D613"/>
  <c r="F612"/>
  <c r="E612"/>
  <c r="F611"/>
  <c r="E611"/>
  <c r="D611"/>
  <c r="G611"/>
  <c r="G610"/>
  <c r="F610"/>
  <c r="E610"/>
  <c r="F609"/>
  <c r="E609"/>
  <c r="F608"/>
  <c r="G606"/>
  <c r="G605"/>
  <c r="G604"/>
  <c r="G603"/>
  <c r="F602"/>
  <c r="E602"/>
  <c r="D602"/>
  <c r="J601"/>
  <c r="F601"/>
  <c r="E601"/>
  <c r="G600"/>
  <c r="F600"/>
  <c r="E600"/>
  <c r="F599"/>
  <c r="E599"/>
  <c r="D599"/>
  <c r="F598"/>
  <c r="E598"/>
  <c r="D598"/>
  <c r="G596"/>
  <c r="G595"/>
  <c r="G594"/>
  <c r="G593"/>
  <c r="F592"/>
  <c r="E592"/>
  <c r="D592"/>
  <c r="G592"/>
  <c r="G591"/>
  <c r="G590"/>
  <c r="G589"/>
  <c r="G588"/>
  <c r="F587"/>
  <c r="E587"/>
  <c r="D587"/>
  <c r="G586"/>
  <c r="G585"/>
  <c r="G584"/>
  <c r="G583"/>
  <c r="F582"/>
  <c r="E582"/>
  <c r="D582"/>
  <c r="G582"/>
  <c r="J581"/>
  <c r="F581"/>
  <c r="F31"/>
  <c r="E581"/>
  <c r="E31"/>
  <c r="D581"/>
  <c r="G581"/>
  <c r="G580"/>
  <c r="F580"/>
  <c r="E580"/>
  <c r="E30"/>
  <c r="F579"/>
  <c r="F29"/>
  <c r="E579"/>
  <c r="E29"/>
  <c r="D579"/>
  <c r="D29"/>
  <c r="F578"/>
  <c r="G578"/>
  <c r="E578"/>
  <c r="D578"/>
  <c r="G576"/>
  <c r="G575"/>
  <c r="G574"/>
  <c r="G573"/>
  <c r="F572"/>
  <c r="E572"/>
  <c r="D572"/>
  <c r="G572"/>
  <c r="G571"/>
  <c r="G570"/>
  <c r="G569"/>
  <c r="G568"/>
  <c r="F567"/>
  <c r="E567"/>
  <c r="D567"/>
  <c r="G567"/>
  <c r="G566"/>
  <c r="G565"/>
  <c r="G564"/>
  <c r="G563"/>
  <c r="F562"/>
  <c r="E562"/>
  <c r="D562"/>
  <c r="G562"/>
  <c r="G561"/>
  <c r="G560"/>
  <c r="G559"/>
  <c r="G558"/>
  <c r="F557"/>
  <c r="E557"/>
  <c r="D557"/>
  <c r="G556"/>
  <c r="G555"/>
  <c r="G554"/>
  <c r="G553"/>
  <c r="F552"/>
  <c r="E552"/>
  <c r="D552"/>
  <c r="G551"/>
  <c r="G550"/>
  <c r="G549"/>
  <c r="G548"/>
  <c r="F547"/>
  <c r="E547"/>
  <c r="D547"/>
  <c r="G547"/>
  <c r="G546"/>
  <c r="G545"/>
  <c r="G544"/>
  <c r="G543"/>
  <c r="F542"/>
  <c r="E542"/>
  <c r="D542"/>
  <c r="G541"/>
  <c r="G540"/>
  <c r="G539"/>
  <c r="G538"/>
  <c r="F537"/>
  <c r="E537"/>
  <c r="D537"/>
  <c r="J536"/>
  <c r="F536"/>
  <c r="E536"/>
  <c r="D536"/>
  <c r="G535"/>
  <c r="F535"/>
  <c r="E535"/>
  <c r="F534"/>
  <c r="E534"/>
  <c r="D534"/>
  <c r="G534"/>
  <c r="F533"/>
  <c r="E533"/>
  <c r="D533"/>
  <c r="G531"/>
  <c r="G530"/>
  <c r="G529"/>
  <c r="D528"/>
  <c r="G528"/>
  <c r="F527"/>
  <c r="E527"/>
  <c r="D527"/>
  <c r="G526"/>
  <c r="G525"/>
  <c r="G524"/>
  <c r="G523"/>
  <c r="F522"/>
  <c r="E522"/>
  <c r="D522"/>
  <c r="G522"/>
  <c r="G521"/>
  <c r="G520"/>
  <c r="G519"/>
  <c r="G518"/>
  <c r="F517"/>
  <c r="E517"/>
  <c r="D517"/>
  <c r="G517"/>
  <c r="G516"/>
  <c r="G515"/>
  <c r="G514"/>
  <c r="G513"/>
  <c r="F512"/>
  <c r="E512"/>
  <c r="D512"/>
  <c r="G511"/>
  <c r="G510"/>
  <c r="G509"/>
  <c r="G508"/>
  <c r="F507"/>
  <c r="E507"/>
  <c r="D507"/>
  <c r="G506"/>
  <c r="G505"/>
  <c r="G504"/>
  <c r="D503"/>
  <c r="G503"/>
  <c r="F502"/>
  <c r="E502"/>
  <c r="D502"/>
  <c r="G501"/>
  <c r="G500"/>
  <c r="G499"/>
  <c r="G498"/>
  <c r="F497"/>
  <c r="E497"/>
  <c r="D497"/>
  <c r="G497"/>
  <c r="G496"/>
  <c r="G495"/>
  <c r="G494"/>
  <c r="G493"/>
  <c r="F492"/>
  <c r="E492"/>
  <c r="D492"/>
  <c r="G492"/>
  <c r="G491"/>
  <c r="G490"/>
  <c r="G489"/>
  <c r="D488"/>
  <c r="G488"/>
  <c r="F487"/>
  <c r="G487"/>
  <c r="E487"/>
  <c r="D487"/>
  <c r="G486"/>
  <c r="G485"/>
  <c r="G484"/>
  <c r="D483"/>
  <c r="G483"/>
  <c r="F482"/>
  <c r="G482"/>
  <c r="E482"/>
  <c r="G481"/>
  <c r="G480"/>
  <c r="G479"/>
  <c r="D478"/>
  <c r="G478"/>
  <c r="F477"/>
  <c r="E477"/>
  <c r="D477"/>
  <c r="J476"/>
  <c r="F476"/>
  <c r="E476"/>
  <c r="D476"/>
  <c r="G476"/>
  <c r="G475"/>
  <c r="F475"/>
  <c r="E475"/>
  <c r="F474"/>
  <c r="E474"/>
  <c r="D474"/>
  <c r="G474"/>
  <c r="F473"/>
  <c r="F472"/>
  <c r="G472"/>
  <c r="E473"/>
  <c r="G470"/>
  <c r="J466"/>
  <c r="G466"/>
  <c r="G465"/>
  <c r="G464"/>
  <c r="G463"/>
  <c r="F462"/>
  <c r="E462"/>
  <c r="D462"/>
  <c r="G462"/>
  <c r="G461"/>
  <c r="G460"/>
  <c r="G459"/>
  <c r="D458"/>
  <c r="G458"/>
  <c r="F457"/>
  <c r="E457"/>
  <c r="D457"/>
  <c r="G456"/>
  <c r="G455"/>
  <c r="G454"/>
  <c r="G453"/>
  <c r="F452"/>
  <c r="E452"/>
  <c r="D452"/>
  <c r="G452"/>
  <c r="J451"/>
  <c r="F451"/>
  <c r="E451"/>
  <c r="D451"/>
  <c r="G451"/>
  <c r="G450"/>
  <c r="F450"/>
  <c r="E450"/>
  <c r="F449"/>
  <c r="E449"/>
  <c r="D449"/>
  <c r="F448"/>
  <c r="E448"/>
  <c r="D448"/>
  <c r="G446"/>
  <c r="G445"/>
  <c r="G444"/>
  <c r="G443"/>
  <c r="F442"/>
  <c r="E442"/>
  <c r="D442"/>
  <c r="G442"/>
  <c r="G441"/>
  <c r="G440"/>
  <c r="G439"/>
  <c r="G438"/>
  <c r="F437"/>
  <c r="E437"/>
  <c r="D437"/>
  <c r="J436"/>
  <c r="F436"/>
  <c r="E436"/>
  <c r="E431"/>
  <c r="D436"/>
  <c r="G436"/>
  <c r="G435"/>
  <c r="F435"/>
  <c r="E435"/>
  <c r="E430"/>
  <c r="F434"/>
  <c r="E434"/>
  <c r="E429"/>
  <c r="D434"/>
  <c r="F433"/>
  <c r="E433"/>
  <c r="D433"/>
  <c r="G430"/>
  <c r="G426"/>
  <c r="G425"/>
  <c r="G424"/>
  <c r="G423"/>
  <c r="F422"/>
  <c r="E422"/>
  <c r="D422"/>
  <c r="J421"/>
  <c r="F421"/>
  <c r="E421"/>
  <c r="D421"/>
  <c r="G421"/>
  <c r="G420"/>
  <c r="F420"/>
  <c r="E420"/>
  <c r="F419"/>
  <c r="E419"/>
  <c r="D419"/>
  <c r="D417"/>
  <c r="F418"/>
  <c r="E418"/>
  <c r="D418"/>
  <c r="G416"/>
  <c r="G415"/>
  <c r="G414"/>
  <c r="G413"/>
  <c r="F412"/>
  <c r="E412"/>
  <c r="D412"/>
  <c r="G411"/>
  <c r="G410"/>
  <c r="G409"/>
  <c r="G408"/>
  <c r="F407"/>
  <c r="E407"/>
  <c r="D407"/>
  <c r="J406"/>
  <c r="F406"/>
  <c r="E406"/>
  <c r="D406"/>
  <c r="G406"/>
  <c r="G405"/>
  <c r="F405"/>
  <c r="E405"/>
  <c r="F404"/>
  <c r="G404"/>
  <c r="E404"/>
  <c r="E402"/>
  <c r="D404"/>
  <c r="F403"/>
  <c r="E403"/>
  <c r="D403"/>
  <c r="G403"/>
  <c r="G401"/>
  <c r="G400"/>
  <c r="G399"/>
  <c r="D398"/>
  <c r="G398"/>
  <c r="F397"/>
  <c r="E397"/>
  <c r="D397"/>
  <c r="J396"/>
  <c r="F396"/>
  <c r="E396"/>
  <c r="E392"/>
  <c r="D396"/>
  <c r="G396"/>
  <c r="G395"/>
  <c r="F395"/>
  <c r="E395"/>
  <c r="F394"/>
  <c r="E394"/>
  <c r="D394"/>
  <c r="G394"/>
  <c r="F393"/>
  <c r="F392"/>
  <c r="E393"/>
  <c r="D393"/>
  <c r="G393"/>
  <c r="G391"/>
  <c r="G390"/>
  <c r="G389"/>
  <c r="D388"/>
  <c r="D383"/>
  <c r="F387"/>
  <c r="E387"/>
  <c r="D387"/>
  <c r="J386"/>
  <c r="F386"/>
  <c r="F382"/>
  <c r="G382"/>
  <c r="E386"/>
  <c r="D386"/>
  <c r="G386"/>
  <c r="G385"/>
  <c r="F385"/>
  <c r="E385"/>
  <c r="F384"/>
  <c r="E384"/>
  <c r="D384"/>
  <c r="F383"/>
  <c r="E383"/>
  <c r="G381"/>
  <c r="G380"/>
  <c r="G379"/>
  <c r="D378"/>
  <c r="G378"/>
  <c r="F377"/>
  <c r="E377"/>
  <c r="D377"/>
  <c r="G376"/>
  <c r="G375"/>
  <c r="G374"/>
  <c r="G373"/>
  <c r="F372"/>
  <c r="G372"/>
  <c r="E372"/>
  <c r="D372"/>
  <c r="F371"/>
  <c r="E371"/>
  <c r="D371"/>
  <c r="G371"/>
  <c r="G370"/>
  <c r="F370"/>
  <c r="E370"/>
  <c r="F369"/>
  <c r="E369"/>
  <c r="D369"/>
  <c r="G369"/>
  <c r="F368"/>
  <c r="E368"/>
  <c r="D368"/>
  <c r="G366"/>
  <c r="G365"/>
  <c r="G364"/>
  <c r="D363"/>
  <c r="G363"/>
  <c r="F362"/>
  <c r="E362"/>
  <c r="D362"/>
  <c r="G361"/>
  <c r="G360"/>
  <c r="G359"/>
  <c r="G358"/>
  <c r="F357"/>
  <c r="G357"/>
  <c r="E357"/>
  <c r="D357"/>
  <c r="F356"/>
  <c r="E356"/>
  <c r="D356"/>
  <c r="G356"/>
  <c r="G355"/>
  <c r="F355"/>
  <c r="E355"/>
  <c r="F354"/>
  <c r="E354"/>
  <c r="E352"/>
  <c r="D354"/>
  <c r="F353"/>
  <c r="E353"/>
  <c r="D353"/>
  <c r="G353"/>
  <c r="G351"/>
  <c r="G350"/>
  <c r="G349"/>
  <c r="G348"/>
  <c r="F347"/>
  <c r="E347"/>
  <c r="D347"/>
  <c r="G347"/>
  <c r="G346"/>
  <c r="G345"/>
  <c r="G344"/>
  <c r="G343"/>
  <c r="F342"/>
  <c r="E342"/>
  <c r="D342"/>
  <c r="G342"/>
  <c r="G341"/>
  <c r="G340"/>
  <c r="G339"/>
  <c r="D338"/>
  <c r="G338"/>
  <c r="F337"/>
  <c r="G337"/>
  <c r="E337"/>
  <c r="D337"/>
  <c r="G336"/>
  <c r="G335"/>
  <c r="G334"/>
  <c r="D333"/>
  <c r="G333"/>
  <c r="F332"/>
  <c r="E332"/>
  <c r="G331"/>
  <c r="G330"/>
  <c r="G329"/>
  <c r="G328"/>
  <c r="F327"/>
  <c r="E327"/>
  <c r="D327"/>
  <c r="J326"/>
  <c r="F326"/>
  <c r="E326"/>
  <c r="D326"/>
  <c r="G325"/>
  <c r="F325"/>
  <c r="E325"/>
  <c r="F324"/>
  <c r="E324"/>
  <c r="D324"/>
  <c r="G324"/>
  <c r="F323"/>
  <c r="G323"/>
  <c r="E323"/>
  <c r="G321"/>
  <c r="G320"/>
  <c r="G319"/>
  <c r="G318"/>
  <c r="F317"/>
  <c r="E317"/>
  <c r="D317"/>
  <c r="G317"/>
  <c r="G316"/>
  <c r="G315"/>
  <c r="G314"/>
  <c r="G313"/>
  <c r="F312"/>
  <c r="E312"/>
  <c r="D312"/>
  <c r="J311"/>
  <c r="J219"/>
  <c r="F311"/>
  <c r="E311"/>
  <c r="D311"/>
  <c r="G310"/>
  <c r="F310"/>
  <c r="E310"/>
  <c r="F309"/>
  <c r="E309"/>
  <c r="E219"/>
  <c r="D309"/>
  <c r="G309"/>
  <c r="F308"/>
  <c r="E308"/>
  <c r="E307"/>
  <c r="D308"/>
  <c r="G306"/>
  <c r="G305"/>
  <c r="G304"/>
  <c r="G303"/>
  <c r="F302"/>
  <c r="E302"/>
  <c r="D302"/>
  <c r="G302"/>
  <c r="G301"/>
  <c r="G300"/>
  <c r="G299"/>
  <c r="D298"/>
  <c r="G298"/>
  <c r="F297"/>
  <c r="E297"/>
  <c r="G296"/>
  <c r="G295"/>
  <c r="G294"/>
  <c r="G293"/>
  <c r="F292"/>
  <c r="E292"/>
  <c r="D292"/>
  <c r="G292"/>
  <c r="F291"/>
  <c r="G291"/>
  <c r="E291"/>
  <c r="D291"/>
  <c r="G290"/>
  <c r="F290"/>
  <c r="E290"/>
  <c r="F289"/>
  <c r="E289"/>
  <c r="D289"/>
  <c r="F288"/>
  <c r="E288"/>
  <c r="G286"/>
  <c r="G285"/>
  <c r="G284"/>
  <c r="G283"/>
  <c r="F282"/>
  <c r="E282"/>
  <c r="D282"/>
  <c r="G282"/>
  <c r="G281"/>
  <c r="G280"/>
  <c r="G279"/>
  <c r="G278"/>
  <c r="F277"/>
  <c r="E277"/>
  <c r="D277"/>
  <c r="G277"/>
  <c r="G276"/>
  <c r="G275"/>
  <c r="G274"/>
  <c r="G273"/>
  <c r="F272"/>
  <c r="E272"/>
  <c r="D272"/>
  <c r="G272"/>
  <c r="G271"/>
  <c r="G270"/>
  <c r="G269"/>
  <c r="G268"/>
  <c r="F267"/>
  <c r="E267"/>
  <c r="D267"/>
  <c r="G267"/>
  <c r="G266"/>
  <c r="G265"/>
  <c r="G264"/>
  <c r="G263"/>
  <c r="F262"/>
  <c r="E262"/>
  <c r="D262"/>
  <c r="G262"/>
  <c r="G261"/>
  <c r="G260"/>
  <c r="G259"/>
  <c r="G258"/>
  <c r="F257"/>
  <c r="E257"/>
  <c r="D257"/>
  <c r="G256"/>
  <c r="G255"/>
  <c r="G254"/>
  <c r="G253"/>
  <c r="F252"/>
  <c r="E252"/>
  <c r="D252"/>
  <c r="G252"/>
  <c r="G251"/>
  <c r="G250"/>
  <c r="G249"/>
  <c r="G248"/>
  <c r="F247"/>
  <c r="G247"/>
  <c r="E247"/>
  <c r="D247"/>
  <c r="G246"/>
  <c r="G245"/>
  <c r="G244"/>
  <c r="D243"/>
  <c r="G243"/>
  <c r="F242"/>
  <c r="E242"/>
  <c r="D242"/>
  <c r="G241"/>
  <c r="G240"/>
  <c r="G239"/>
  <c r="D238"/>
  <c r="G238"/>
  <c r="F237"/>
  <c r="E237"/>
  <c r="D237"/>
  <c r="D236"/>
  <c r="D232"/>
  <c r="G235"/>
  <c r="G234"/>
  <c r="G233"/>
  <c r="F232"/>
  <c r="E232"/>
  <c r="G231"/>
  <c r="G230"/>
  <c r="G229"/>
  <c r="G228"/>
  <c r="F227"/>
  <c r="E227"/>
  <c r="D227"/>
  <c r="G227"/>
  <c r="F226"/>
  <c r="E226"/>
  <c r="E221"/>
  <c r="D226"/>
  <c r="D221"/>
  <c r="G225"/>
  <c r="F225"/>
  <c r="F220"/>
  <c r="F217"/>
  <c r="E225"/>
  <c r="F224"/>
  <c r="F219"/>
  <c r="E224"/>
  <c r="D224"/>
  <c r="D219"/>
  <c r="F223"/>
  <c r="E223"/>
  <c r="G220"/>
  <c r="G216"/>
  <c r="G215"/>
  <c r="G214"/>
  <c r="G213"/>
  <c r="F212"/>
  <c r="E212"/>
  <c r="D212"/>
  <c r="G212"/>
  <c r="F211"/>
  <c r="E211"/>
  <c r="D211"/>
  <c r="G211"/>
  <c r="G210"/>
  <c r="F210"/>
  <c r="E210"/>
  <c r="F209"/>
  <c r="E209"/>
  <c r="D209"/>
  <c r="G209"/>
  <c r="F208"/>
  <c r="E208"/>
  <c r="E207"/>
  <c r="D208"/>
  <c r="G206"/>
  <c r="G205"/>
  <c r="G204"/>
  <c r="G203"/>
  <c r="F202"/>
  <c r="E202"/>
  <c r="D202"/>
  <c r="G201"/>
  <c r="G200"/>
  <c r="G199"/>
  <c r="D198"/>
  <c r="G198"/>
  <c r="G196"/>
  <c r="G195"/>
  <c r="G194"/>
  <c r="G193"/>
  <c r="F192"/>
  <c r="E192"/>
  <c r="D192"/>
  <c r="G191"/>
  <c r="G190"/>
  <c r="G189"/>
  <c r="G188"/>
  <c r="F187"/>
  <c r="E187"/>
  <c r="D187"/>
  <c r="G187"/>
  <c r="F186"/>
  <c r="E186"/>
  <c r="D186"/>
  <c r="G186"/>
  <c r="G185"/>
  <c r="F185"/>
  <c r="E185"/>
  <c r="E182"/>
  <c r="F184"/>
  <c r="E184"/>
  <c r="D184"/>
  <c r="F183"/>
  <c r="F182"/>
  <c r="E183"/>
  <c r="D183"/>
  <c r="G183"/>
  <c r="G181"/>
  <c r="G180"/>
  <c r="G179"/>
  <c r="G178"/>
  <c r="F177"/>
  <c r="E177"/>
  <c r="D177"/>
  <c r="G176"/>
  <c r="G175"/>
  <c r="G174"/>
  <c r="G173"/>
  <c r="F172"/>
  <c r="E172"/>
  <c r="D172"/>
  <c r="G171"/>
  <c r="G170"/>
  <c r="G169"/>
  <c r="G168"/>
  <c r="F167"/>
  <c r="G167"/>
  <c r="E167"/>
  <c r="D167"/>
  <c r="G166"/>
  <c r="G165"/>
  <c r="G164"/>
  <c r="G163"/>
  <c r="F162"/>
  <c r="G162"/>
  <c r="E162"/>
  <c r="D162"/>
  <c r="G161"/>
  <c r="G160"/>
  <c r="D159"/>
  <c r="G159"/>
  <c r="G158"/>
  <c r="F157"/>
  <c r="E157"/>
  <c r="D157"/>
  <c r="G156"/>
  <c r="G155"/>
  <c r="G154"/>
  <c r="D153"/>
  <c r="G153"/>
  <c r="F152"/>
  <c r="E152"/>
  <c r="J151"/>
  <c r="G151"/>
  <c r="F151"/>
  <c r="E151"/>
  <c r="D151"/>
  <c r="G150"/>
  <c r="F150"/>
  <c r="E150"/>
  <c r="G149"/>
  <c r="F149"/>
  <c r="E149"/>
  <c r="D149"/>
  <c r="F148"/>
  <c r="G148"/>
  <c r="E148"/>
  <c r="E147"/>
  <c r="G146"/>
  <c r="G145"/>
  <c r="G144"/>
  <c r="G143"/>
  <c r="F142"/>
  <c r="E142"/>
  <c r="D142"/>
  <c r="G141"/>
  <c r="G140"/>
  <c r="G139"/>
  <c r="G138"/>
  <c r="F137"/>
  <c r="E137"/>
  <c r="D137"/>
  <c r="G137"/>
  <c r="G136"/>
  <c r="G135"/>
  <c r="G134"/>
  <c r="G133"/>
  <c r="F132"/>
  <c r="E132"/>
  <c r="D132"/>
  <c r="G131"/>
  <c r="G130"/>
  <c r="G129"/>
  <c r="G128"/>
  <c r="F127"/>
  <c r="E127"/>
  <c r="D127"/>
  <c r="G127"/>
  <c r="G126"/>
  <c r="G125"/>
  <c r="G124"/>
  <c r="G123"/>
  <c r="F122"/>
  <c r="E122"/>
  <c r="D122"/>
  <c r="G121"/>
  <c r="G120"/>
  <c r="G119"/>
  <c r="G118"/>
  <c r="F117"/>
  <c r="G117"/>
  <c r="E117"/>
  <c r="D117"/>
  <c r="G116"/>
  <c r="G115"/>
  <c r="G114"/>
  <c r="G113"/>
  <c r="F112"/>
  <c r="E112"/>
  <c r="D112"/>
  <c r="G111"/>
  <c r="G110"/>
  <c r="G109"/>
  <c r="G108"/>
  <c r="F107"/>
  <c r="E107"/>
  <c r="D107"/>
  <c r="G107"/>
  <c r="G106"/>
  <c r="G105"/>
  <c r="G104"/>
  <c r="G103"/>
  <c r="F102"/>
  <c r="E102"/>
  <c r="D102"/>
  <c r="G101"/>
  <c r="G100"/>
  <c r="G99"/>
  <c r="D98"/>
  <c r="G98"/>
  <c r="F97"/>
  <c r="E97"/>
  <c r="D97"/>
  <c r="G96"/>
  <c r="G95"/>
  <c r="G94"/>
  <c r="G93"/>
  <c r="F92"/>
  <c r="E92"/>
  <c r="D92"/>
  <c r="G92"/>
  <c r="F91"/>
  <c r="G91"/>
  <c r="E91"/>
  <c r="D91"/>
  <c r="G90"/>
  <c r="F90"/>
  <c r="E90"/>
  <c r="F89"/>
  <c r="E89"/>
  <c r="D89"/>
  <c r="G89"/>
  <c r="F88"/>
  <c r="E88"/>
  <c r="D88"/>
  <c r="G86"/>
  <c r="G85"/>
  <c r="G84"/>
  <c r="G83"/>
  <c r="D82"/>
  <c r="G82"/>
  <c r="G81"/>
  <c r="G80"/>
  <c r="G79"/>
  <c r="G78"/>
  <c r="F77"/>
  <c r="E77"/>
  <c r="D77"/>
  <c r="G76"/>
  <c r="G75"/>
  <c r="G74"/>
  <c r="G73"/>
  <c r="F72"/>
  <c r="G72"/>
  <c r="E72"/>
  <c r="D72"/>
  <c r="G71"/>
  <c r="G70"/>
  <c r="G69"/>
  <c r="G68"/>
  <c r="F67"/>
  <c r="E67"/>
  <c r="D67"/>
  <c r="J66"/>
  <c r="F66"/>
  <c r="F36"/>
  <c r="E66"/>
  <c r="D66"/>
  <c r="G66"/>
  <c r="G65"/>
  <c r="F65"/>
  <c r="E65"/>
  <c r="E35"/>
  <c r="F64"/>
  <c r="E64"/>
  <c r="D64"/>
  <c r="G64"/>
  <c r="F63"/>
  <c r="E63"/>
  <c r="D63"/>
  <c r="D62"/>
  <c r="G61"/>
  <c r="G60"/>
  <c r="G59"/>
  <c r="D58"/>
  <c r="G58"/>
  <c r="F57"/>
  <c r="E57"/>
  <c r="G56"/>
  <c r="G55"/>
  <c r="G54"/>
  <c r="G53"/>
  <c r="F52"/>
  <c r="E52"/>
  <c r="D52"/>
  <c r="G51"/>
  <c r="G50"/>
  <c r="G49"/>
  <c r="G48"/>
  <c r="F47"/>
  <c r="E47"/>
  <c r="D47"/>
  <c r="G46"/>
  <c r="G45"/>
  <c r="G44"/>
  <c r="G43"/>
  <c r="F42"/>
  <c r="E42"/>
  <c r="D42"/>
  <c r="G42"/>
  <c r="J41"/>
  <c r="F41"/>
  <c r="F16"/>
  <c r="F11"/>
  <c r="E41"/>
  <c r="E36"/>
  <c r="D41"/>
  <c r="G40"/>
  <c r="F40"/>
  <c r="E40"/>
  <c r="F39"/>
  <c r="F34"/>
  <c r="E39"/>
  <c r="D39"/>
  <c r="G39"/>
  <c r="F38"/>
  <c r="E38"/>
  <c r="G35"/>
  <c r="J31"/>
  <c r="G30"/>
  <c r="G26"/>
  <c r="G25"/>
  <c r="G24"/>
  <c r="J21"/>
  <c r="G21"/>
  <c r="G20"/>
  <c r="G19"/>
  <c r="G18"/>
  <c r="G15"/>
  <c r="D482"/>
  <c r="D612"/>
  <c r="G612"/>
  <c r="G634"/>
  <c r="G918"/>
  <c r="D148"/>
  <c r="D223"/>
  <c r="D323"/>
  <c r="D322"/>
  <c r="D473"/>
  <c r="D738"/>
  <c r="G354"/>
  <c r="D609"/>
  <c r="D307"/>
  <c r="G88"/>
  <c r="G257"/>
  <c r="D431"/>
  <c r="G431"/>
  <c r="D447"/>
  <c r="G527"/>
  <c r="D857"/>
  <c r="G857"/>
  <c r="D987"/>
  <c r="G987"/>
  <c r="G1019"/>
  <c r="G377"/>
  <c r="G598"/>
  <c r="D727"/>
  <c r="G942"/>
  <c r="G962"/>
  <c r="G896"/>
  <c r="G308"/>
  <c r="F431"/>
  <c r="D367"/>
  <c r="G419"/>
  <c r="F417"/>
  <c r="G552"/>
  <c r="G599"/>
  <c r="G642"/>
  <c r="G702"/>
  <c r="G732"/>
  <c r="D852"/>
  <c r="G852"/>
  <c r="G989"/>
  <c r="G536"/>
  <c r="G77"/>
  <c r="G97"/>
  <c r="G132"/>
  <c r="G142"/>
  <c r="D197"/>
  <c r="G197"/>
  <c r="G326"/>
  <c r="G417"/>
  <c r="G507"/>
  <c r="G602"/>
  <c r="G662"/>
  <c r="G677"/>
  <c r="D847"/>
  <c r="G847"/>
  <c r="G1022"/>
  <c r="G208"/>
  <c r="G891"/>
  <c r="G157"/>
  <c r="G362"/>
  <c r="G368"/>
  <c r="E367"/>
  <c r="G384"/>
  <c r="G387"/>
  <c r="D392"/>
  <c r="G457"/>
  <c r="G697"/>
  <c r="G839"/>
  <c r="G846"/>
  <c r="D872"/>
  <c r="G872"/>
  <c r="D897"/>
  <c r="G897"/>
  <c r="G947"/>
  <c r="G977"/>
  <c r="G992"/>
  <c r="G997"/>
  <c r="G1018"/>
  <c r="G434"/>
  <c r="F597"/>
  <c r="E727"/>
  <c r="G871"/>
  <c r="G881"/>
  <c r="G886"/>
  <c r="G67"/>
  <c r="G112"/>
  <c r="G122"/>
  <c r="G192"/>
  <c r="F207"/>
  <c r="G311"/>
  <c r="F367"/>
  <c r="G397"/>
  <c r="G418"/>
  <c r="G502"/>
  <c r="G512"/>
  <c r="G557"/>
  <c r="G802"/>
  <c r="G817"/>
  <c r="G972"/>
  <c r="G762"/>
  <c r="G772"/>
  <c r="G1012"/>
  <c r="F904"/>
  <c r="F903"/>
  <c r="F987"/>
  <c r="E904"/>
  <c r="E905"/>
  <c r="E902"/>
  <c r="G967"/>
  <c r="E903"/>
  <c r="E907"/>
  <c r="G887"/>
  <c r="F786"/>
  <c r="F783"/>
  <c r="F782"/>
  <c r="F837"/>
  <c r="E837"/>
  <c r="G842"/>
  <c r="G832"/>
  <c r="G807"/>
  <c r="G797"/>
  <c r="E650"/>
  <c r="F727"/>
  <c r="E382"/>
  <c r="G477"/>
  <c r="E447"/>
  <c r="F402"/>
  <c r="E417"/>
  <c r="E428"/>
  <c r="E427"/>
  <c r="E432"/>
  <c r="F428"/>
  <c r="G437"/>
  <c r="G422"/>
  <c r="F352"/>
  <c r="G202"/>
  <c r="G177"/>
  <c r="G237"/>
  <c r="G242"/>
  <c r="E287"/>
  <c r="G312"/>
  <c r="F307"/>
  <c r="G327"/>
  <c r="G412"/>
  <c r="G52"/>
  <c r="G47"/>
  <c r="E37"/>
  <c r="G617"/>
  <c r="E597"/>
  <c r="G587"/>
  <c r="G542"/>
  <c r="E470"/>
  <c r="G537"/>
  <c r="F471"/>
  <c r="F1017"/>
  <c r="G1017"/>
  <c r="E1017"/>
  <c r="G692"/>
  <c r="G184"/>
  <c r="E34"/>
  <c r="G102"/>
  <c r="E87"/>
  <c r="F35"/>
  <c r="G63"/>
  <c r="G307"/>
  <c r="G407"/>
  <c r="F577"/>
  <c r="G862"/>
  <c r="D906"/>
  <c r="G906"/>
  <c r="J904"/>
  <c r="J905"/>
  <c r="J903"/>
  <c r="G232"/>
  <c r="F322"/>
  <c r="G322"/>
  <c r="G289"/>
  <c r="D222"/>
  <c r="D57"/>
  <c r="G57"/>
  <c r="G448"/>
  <c r="F648"/>
  <c r="E651"/>
  <c r="G882"/>
  <c r="D912"/>
  <c r="G912"/>
  <c r="G937"/>
  <c r="E62"/>
  <c r="F62"/>
  <c r="G62"/>
  <c r="F218"/>
  <c r="E220"/>
  <c r="F221"/>
  <c r="G221"/>
  <c r="D352"/>
  <c r="G352"/>
  <c r="G392"/>
  <c r="J783"/>
  <c r="J784"/>
  <c r="J785"/>
  <c r="G224"/>
  <c r="G727"/>
  <c r="D38"/>
  <c r="D37"/>
  <c r="D288"/>
  <c r="D218"/>
  <c r="J218"/>
  <c r="D297"/>
  <c r="G297"/>
  <c r="G988"/>
  <c r="E987"/>
  <c r="G991"/>
  <c r="E783"/>
  <c r="D786"/>
  <c r="G786"/>
  <c r="F787"/>
  <c r="D784"/>
  <c r="G784"/>
  <c r="G738"/>
  <c r="F737"/>
  <c r="D737"/>
  <c r="G737"/>
  <c r="D648"/>
  <c r="G866"/>
  <c r="D841"/>
  <c r="G841"/>
  <c r="G648"/>
  <c r="G653"/>
  <c r="E652"/>
  <c r="E648"/>
  <c r="E647"/>
  <c r="G654"/>
  <c r="D652"/>
  <c r="G649"/>
  <c r="D651"/>
  <c r="D647"/>
  <c r="G647"/>
  <c r="G609"/>
  <c r="G383"/>
  <c r="D382"/>
  <c r="D837"/>
  <c r="G837"/>
  <c r="G838"/>
  <c r="D783"/>
  <c r="D782"/>
  <c r="G782"/>
  <c r="G788"/>
  <c r="D787"/>
  <c r="G787"/>
  <c r="J428"/>
  <c r="J427"/>
  <c r="J431"/>
  <c r="J429"/>
  <c r="J430"/>
  <c r="F429"/>
  <c r="J220"/>
  <c r="G41"/>
  <c r="G236"/>
  <c r="G388"/>
  <c r="D469"/>
  <c r="E471"/>
  <c r="G633"/>
  <c r="D908"/>
  <c r="G908"/>
  <c r="G367"/>
  <c r="F432"/>
  <c r="F469"/>
  <c r="D747"/>
  <c r="G747"/>
  <c r="G533"/>
  <c r="F470"/>
  <c r="G579"/>
  <c r="E577"/>
  <c r="F532"/>
  <c r="E469"/>
  <c r="D532"/>
  <c r="G532"/>
  <c r="E472"/>
  <c r="G473"/>
  <c r="D472"/>
  <c r="F447"/>
  <c r="G447"/>
  <c r="D428"/>
  <c r="G433"/>
  <c r="F430"/>
  <c r="F427"/>
  <c r="G223"/>
  <c r="G219"/>
  <c r="G226"/>
  <c r="D87"/>
  <c r="D34"/>
  <c r="G34"/>
  <c r="D287"/>
  <c r="G469"/>
  <c r="G783"/>
  <c r="D903"/>
  <c r="G428"/>
  <c r="G903"/>
  <c r="G218"/>
  <c r="D217"/>
  <c r="G217"/>
  <c r="G37"/>
  <c r="J217"/>
  <c r="J221"/>
  <c r="F13"/>
  <c r="F33"/>
  <c r="F32"/>
  <c r="G32"/>
  <c r="G628"/>
  <c r="D627"/>
  <c r="G627"/>
  <c r="D907"/>
  <c r="G907"/>
  <c r="G651"/>
  <c r="F222"/>
  <c r="G222"/>
  <c r="E532"/>
  <c r="J35"/>
  <c r="F905"/>
  <c r="F902"/>
  <c r="D13"/>
  <c r="J648"/>
  <c r="F147"/>
  <c r="G147"/>
  <c r="D182"/>
  <c r="G182"/>
  <c r="F14"/>
  <c r="F9"/>
  <c r="G9"/>
  <c r="D207"/>
  <c r="G207"/>
  <c r="E218"/>
  <c r="G623"/>
  <c r="D622"/>
  <c r="G622"/>
  <c r="D147"/>
  <c r="D36"/>
  <c r="G36"/>
  <c r="D601"/>
  <c r="D31"/>
  <c r="G31"/>
  <c r="G288"/>
  <c r="G38"/>
  <c r="E222"/>
  <c r="D33"/>
  <c r="F37"/>
  <c r="F652"/>
  <c r="G652"/>
  <c r="J650"/>
  <c r="E785"/>
  <c r="E782"/>
  <c r="E15"/>
  <c r="E10"/>
  <c r="G172"/>
  <c r="D432"/>
  <c r="G432"/>
  <c r="G449"/>
  <c r="D429"/>
  <c r="D28"/>
  <c r="G29"/>
  <c r="G613"/>
  <c r="D608"/>
  <c r="D932"/>
  <c r="G932"/>
  <c r="J787"/>
  <c r="G23"/>
  <c r="D22"/>
  <c r="G22"/>
  <c r="F28"/>
  <c r="F27"/>
  <c r="G27"/>
  <c r="D16"/>
  <c r="J911"/>
  <c r="J902"/>
  <c r="J906"/>
  <c r="D577"/>
  <c r="G577"/>
  <c r="D904"/>
  <c r="G904"/>
  <c r="J649"/>
  <c r="D402"/>
  <c r="G402"/>
  <c r="E14"/>
  <c r="E9"/>
  <c r="F15"/>
  <c r="F10"/>
  <c r="F87"/>
  <c r="G87"/>
  <c r="F287"/>
  <c r="G287"/>
  <c r="E322"/>
  <c r="E737"/>
  <c r="G758"/>
  <c r="D757"/>
  <c r="G757"/>
  <c r="D927"/>
  <c r="G927"/>
  <c r="D152"/>
  <c r="G152"/>
  <c r="D332"/>
  <c r="G332"/>
  <c r="E16"/>
  <c r="E11"/>
  <c r="D607"/>
  <c r="D468"/>
  <c r="G429"/>
  <c r="D427"/>
  <c r="G427"/>
  <c r="E217"/>
  <c r="J651"/>
  <c r="F12"/>
  <c r="D902"/>
  <c r="G902"/>
  <c r="D14"/>
  <c r="D12"/>
  <c r="G12"/>
  <c r="G16"/>
  <c r="D11"/>
  <c r="G11"/>
  <c r="J782"/>
  <c r="J786"/>
  <c r="J791"/>
  <c r="G33"/>
  <c r="D32"/>
  <c r="D471"/>
  <c r="G471"/>
  <c r="D597"/>
  <c r="G597"/>
  <c r="G601"/>
  <c r="D8"/>
  <c r="G13"/>
  <c r="D27"/>
  <c r="G28"/>
  <c r="G14"/>
  <c r="D9"/>
  <c r="D467"/>
  <c r="D7"/>
  <c r="E13"/>
  <c r="E33"/>
  <c r="F607"/>
  <c r="G607"/>
  <c r="G608"/>
  <c r="F468"/>
  <c r="F467"/>
  <c r="G467"/>
  <c r="F8"/>
  <c r="G468"/>
  <c r="E12"/>
  <c r="J467"/>
  <c r="F7"/>
  <c r="G7"/>
  <c r="G8"/>
  <c r="J471"/>
  <c r="J10"/>
  <c r="J15"/>
  <c r="E607"/>
  <c r="E28"/>
  <c r="J8"/>
  <c r="J13"/>
  <c r="J34"/>
  <c r="J32"/>
  <c r="J36"/>
  <c r="J9"/>
  <c r="J14"/>
  <c r="E8"/>
  <c r="E7"/>
  <c r="E27"/>
  <c r="J7"/>
  <c r="J11"/>
  <c r="J12"/>
  <c r="J16"/>
</calcChain>
</file>

<file path=xl/sharedStrings.xml><?xml version="1.0" encoding="utf-8"?>
<sst xmlns="http://schemas.openxmlformats.org/spreadsheetml/2006/main" count="2459" uniqueCount="846">
  <si>
    <t xml:space="preserve"> № п/п</t>
  </si>
  <si>
    <t>Государственная программа, подпрограмма, задача, основное мероприятие, мероприятие</t>
  </si>
  <si>
    <t>Объемы и источники финансирования (тыс. руб.)</t>
  </si>
  <si>
    <t>Степень освоения средств, %</t>
  </si>
  <si>
    <t>Связь основных мероприятий с показателями подпрограмм, 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</si>
  <si>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</si>
  <si>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(да/нет/частично)*</t>
  </si>
  <si>
    <t>Соисполнители, участники</t>
  </si>
  <si>
    <t>Причины низкой степени освоения средств, невыполнения мероприятий</t>
  </si>
  <si>
    <t>Источник</t>
  </si>
  <si>
    <t>Запланировано на отчетный год (справочно)</t>
  </si>
  <si>
    <t>Кассовое исполнение ГРБС</t>
  </si>
  <si>
    <t>Фактическое исполнение</t>
  </si>
  <si>
    <t>Государственная программа "Здравоохранение"</t>
  </si>
  <si>
    <t>Всего</t>
  </si>
  <si>
    <t>Количество мероприятий, всего, в т.ч.</t>
  </si>
  <si>
    <t>Министерство здравоохранения Мурманской области, медицинские организации, Министерство строительства Мурманской области, ГОКУ "Управление капитального строительства Мурманской области",  Комитет молодежной политики Мурманской области, Комитет по обеспечению безопасности населения Мурманской области, ТФОМС Мурманской области, НКО, ФКУ «ГБ МСЭ по Мурманской области» Минтруда России, ГУ-МРО ФСС РФ</t>
  </si>
  <si>
    <t>ОБ</t>
  </si>
  <si>
    <t>Выполнено в полном объеме</t>
  </si>
  <si>
    <t>ФБ</t>
  </si>
  <si>
    <t>Выполнены частично</t>
  </si>
  <si>
    <t>МБ</t>
  </si>
  <si>
    <t>Не выполнены</t>
  </si>
  <si>
    <t>ВБС</t>
  </si>
  <si>
    <t>Степень исполнения мероприятий</t>
  </si>
  <si>
    <t>Всего Министерство здравоохранения Мурманской области</t>
  </si>
  <si>
    <t/>
  </si>
  <si>
    <t>Министерство здравоохранения Мурманской области, медицинские организации, Министерство культуры Мурманской области, ТФОМС Мурманской области, НКО</t>
  </si>
  <si>
    <t>1.</t>
  </si>
  <si>
    <t>Подпрограмма 1. "Профилактика заболеваний и формирование здорового образа жизни. Развитие первичной медико-санитарной помощи"</t>
  </si>
  <si>
    <t>Министерство здравоохранения Мурманской области, медицинские организации, Комитет молодежной политики Мурманской области, Комитет по обеспечению безопасности населения Мурманской области, ТФОМС Мурманской области, НКО</t>
  </si>
  <si>
    <t>ВБС*</t>
  </si>
  <si>
    <t>ОМ 1.1.</t>
  </si>
  <si>
    <t>Основное мероприятие "Организация медицинской профилактики неинфекционных заболеваний"</t>
  </si>
  <si>
    <t>1.3. Охват диспансеризацией детей-сирот и детей, оказавшихся в трудной жизненной ситуации;
1.1. Розничные продажи алкогольной продукции на душу населения (в литрах);
1.2.Распространенность потребления табака среди взрослого населения.</t>
  </si>
  <si>
    <t>Министерство здравоохранения Мурманской области, медицинские организации Мурманской области, ТФОМС Мурманской области, НКО</t>
  </si>
  <si>
    <t>1.1.1.</t>
  </si>
  <si>
    <t>Субсидия на финансовое обеспечение выполнения государственного задания</t>
  </si>
  <si>
    <t>Организация и проведение профилактики заболеваний, диспансеризации  детей-сирот и детей, оказавшихся в трудной жизненной ситуации, работ по формированию здорового образа жизни и санитарно-гигиеническому просвещению населения Центром медицинской профилактики</t>
  </si>
  <si>
    <t>Министерство здравоохранения Мурманской области, ГОАУЗ "МОЦСВМП"</t>
  </si>
  <si>
    <t>1.1.2.</t>
  </si>
  <si>
    <t>Функционирование Школ здоровья в медицинских организациях области</t>
  </si>
  <si>
    <t>Проведение обучения населения по формированию здорового образа жизни,  санитарно-гигиеническое просвещение населения (обеспечение функционирования школ здоровья в медицинских организациях), в том числе детей-сирот и детей оказавшихся в трудной жизненной ситуации</t>
  </si>
  <si>
    <t>Медицинские организации Мурманской области, ТФОМС Мурманской области</t>
  </si>
  <si>
    <t>1.1.3.</t>
  </si>
  <si>
    <t>Функционирование Центров здоровья в медицинских организациях области</t>
  </si>
  <si>
    <t>Организация и проведение профилактики заболеваний, работ по формированию здорового образа жизни и санитарно-гигиеническому просвещению населения, в том числе детей-сирот и детей оказавшихся в трудной жизненной ситуации, раннему выявлению факторов риска неинфекционных заболеваний (обеспечение функционирования центров здоровья в медицинских организациях)</t>
  </si>
  <si>
    <t>1.1.4.</t>
  </si>
  <si>
    <t>Организация и проведение массовых мероприятий, акций, «круглых столов», конференций по вопросам профилактики неинфекционных заболеваний и формирования здорового образа жизни</t>
  </si>
  <si>
    <t>Организация и проведение профилактических мероприятий</t>
  </si>
  <si>
    <t>Организовано и проведено 26 мероприятий по вопросам профилактики ХНИЗ и формирования здорового образа жизни: 21 массовая акция (более 2000 участников), из них – 4 акции в новом формате с использованием интернет-площадки (областной конкурс творческих работ, 3 флеш-моба в рамках Всемирного дня борьбы с раком и Всемирного без табака); в рамках межведомственного взаимодействия проведено 3 обучающих семинара в дистанционном формате на темы: «Коррекция факторов риска развития хронических неинфекционных заболеваний», «Принципы здорового питания», «Здоровые дети – здоровая Россия»; 2 заседания «круглого стола» с СО НКО - МРОВОГО «Союз женщин России», МРООД «Капля жизни», МРО ООО «Российский Красный крест»  по вопросам сотрудничества и проведения мероприятий по пропаганде ЗОЖ _x000D_
Организован прокат 3 социальных видеороликов на федеральных телеканалах: «Вред  табакокурения» (45 прокатов), «Преимущества трезвого образа жизни (35), «Профилактика альтернативных форм курения» (18); трансляция в радиоэфире 2 аудиороликов по профилактике курения (136 выходов) и  пропаганде трезвого образа жизни (136 выходов);  с мая по июнь 2022 г. размещен баннер «Хочешь лето без дыма? Бросай курить сегодня!» на пилларе в центре  г. Мурманска; осуществлен прокат  2 видеороликов по профилактике табакокурения на светодиодных больших LED-экранах (фасад кинотеатра «Мурманск»,  экраны на площади «Пять углов») и на мониторах LED-экранов на 16 автозаправочных станциях «Роснефть» и  трансляция 2 тематических аудиороликов в ТРЦ «Форум» (168 выходов). Общее число выпущенных информационных материалов – 10 единиц. _x000D_
За 6 мес. 2022 г. по вопросам профилактики, диагностики и лечения ВИЧ-инфекции проведены мероприятия: на областных каналах теле- и радиовещания выпущена тематическая  передача «ВИЧ-инфекция: профилактика и лечение» (6 выпусков); организована пресс-конференция, посвященная Всемирному дню памяти жертв СПИДа; в печатных изданиях опубликовано 6 информационных  материалов; на федеральных каналах телевидения размещено 6 социальных видеороликов (300 прокатов); осуществлена трансляция 2 тематических аудиороликов на  радиостанциях г. Мурманска и области (330 выходов); организовано и проведено 5 акций в местах массового скопления людей и 6 выездов мобильной лаборатории автобуса «Доверие» (охват тестированием – 114 человек); организован прокат видеоролика «Профилактика ВИЧ-инфекции» на 2 больших светодиодных экранах в центре города Мурманска (фасад кинотеатра «Мурманск», на площади «Пять углов»), на мониторах LED-экранов на 16 автозаправочных станциях «Роснефть» и 18 аптеках сети «Для бережливых»; размещено 5 информационных баннеров на металлоконструкциях и пилларах в центре г. Мурманска; изготовлен буклет «Что необходимо знать об ИППП» в количестве 5000 экземпляров;  осуществлен прокат плаката «Остановим ВИЧ вместе!» в 160 единицах общественного транспорта г. Мурманска; по г. Мурманску с 20.03.2022 курсирует троллейбус, на бортах которого размещена социальная реклама для привлечения жителей пройти обследование на ВИЧ-инфекцию  и др.</t>
  </si>
  <si>
    <t>Министерство здравоохранения Мурманской области, ГОАУЗ "МОЦСВМП", НКО</t>
  </si>
  <si>
    <t>ОМ 1.2.</t>
  </si>
  <si>
    <t>Основное мероприятие 2. Формирование негативного отношения к потреблению наркотических средств и психотропных веществ, алкоголя, табакокурению</t>
  </si>
  <si>
    <t xml:space="preserve">1.1. Розничные продажи алкогольной продукции, 1.2. Распространенность потребления табака среди взрослого населения
</t>
  </si>
  <si>
    <t>Министерство здравоохранения Мурманской области, ГОАУЗ "МОЦСВМП", Комитет молодежной политики Мурманской области, Комитет по обеспечению безопасности населения Мурманской области</t>
  </si>
  <si>
    <t>1.2.1.</t>
  </si>
  <si>
    <t>Производство (приобретение), выпуск материалов по      профилактике наркомании,      алкоголизма, токсикомании и   табакокурения, пропаганде     здорового образа жизни        (брошюр, буклетов, плакатов, профилактических   роликов  и т.п.)</t>
  </si>
  <si>
    <t xml:space="preserve">Изготовление и распространение среди молодежи профилактической продукции, направленной на пропаганду ведения здорового образа жизни, профилактику употребления алкоголя, табака, наркотических средств и психотропных веществ: видео-,радиороликов ; печатной продукции.  Число выпущенных материалов в год  не менее  15.
</t>
  </si>
  <si>
    <t xml:space="preserve">Организован прокат 3 социальных видеороликов на федеральных телеканалах: «Вред  табакокурения» (45 прокатов), «Преимущества трезвого образа жизни (35), «Профилактика альтернативных форм курения» (18); трансляция в радиоэфире 2 аудиороликов по профилактике курения (136 выходов) и  пропаганде трезвого образа жизни (136 выходов);  с мая по июнь 2022 г. размещен баннер «Хочешь лето без дыма? Бросай курить сегодня!» на пилларе в центре  г. Мурманска; осуществлен прокат  2 видеороликов по профилактике табакокурения на светодиодных больших LED-экранах (фасад кинотеатра «Мурманск»,  экраны на площади «Пять углов») и на мониторах LED-экранов на 16 автозаправочных станциях «Роснефть» и  трансляция 2 тематических аудиороликов в ТРЦ «Форум» (168 выходов). Общее число выпущенных информационных материалов – 10 единиц. </t>
  </si>
  <si>
    <t>1.2.2.</t>
  </si>
  <si>
    <t xml:space="preserve">Организация и проведение акций, фестивалей, конкурсов, слетов и других мероприятий по пропаганде здорового образа жизни, вреда наркомании, алкоголизма, токсикомании и табакокурения      </t>
  </si>
  <si>
    <t>Проведение массовых мероприятий, направленных на вовлечение молодежи в практику ведения здорового образа жизни.  Число мероприятий в год не менее 4.</t>
  </si>
  <si>
    <t>Комитет молодежной политики Мурманской области</t>
  </si>
  <si>
    <t>1.2.3.</t>
  </si>
  <si>
    <t>Подготовка специалистов и  представителей общественных организаций,   вовлеченных в работу по профилактике   наркомании, алкоголизма, токсикомании и   табакокурения</t>
  </si>
  <si>
    <t xml:space="preserve"> Повышение квалификации  специалистов, работающих в сфере профилактики негативных явлений в молодежной среде, посредством участия в обучающих семинарах.  Число семинаров в год не менее 4.</t>
  </si>
  <si>
    <t>1.2.4.</t>
  </si>
  <si>
    <t>Обеспечение деятельности антинаркотической комиссии Мурманской области,  проведение мониторинга</t>
  </si>
  <si>
    <t>Обеспечение проведения не менее 4-х заседаний антинаркотической комиссии Мурманской области, заседаний ее рабочих групп,  проведения  мониторинга наркоситуации по итогам года с подготовкой доклада Губернатору Мурманской области</t>
  </si>
  <si>
    <t>Комитет по обеспечению безопасности населения Мурманской области</t>
  </si>
  <si>
    <t>ОМ 1.3.</t>
  </si>
  <si>
    <t>Основное мероприятие 3. Организация оказания первичной медико-санитарной помощи</t>
  </si>
  <si>
    <t>1.4. Охват населения профосмотрами на туберкулез, 1.5. Охват населения иммунизацией против вирусного гепатита В в декретированные сроки, 1.6. Охват населения иммунизацией против дифтерии, коклюша и столбняка в декретированные сроки, 1.7. Охват населения иммунизацией против кори в декретированные сроки                                                                                                    0.5 Смертность от туберкулеза</t>
  </si>
  <si>
    <t>Министерство здравоохранения Мурманской области, медицинские организации Мурманской области,  
ТФОМС Мурманской области</t>
  </si>
  <si>
    <t>1.3.1.</t>
  </si>
  <si>
    <t>Первичная медико-санитарная помощь, включенная в базовую и сверхбазовую программу обязательного медицинского страхования</t>
  </si>
  <si>
    <t>Обеспечение оказания первичной медико-санитарной помощи. Количество посещений учреждений, оказывающих первичную медико-санитарную помощь, в год не менее 6 000 000.</t>
  </si>
  <si>
    <t>Медицинские организации Мурманской области, 
ТФОМС Мурманской области</t>
  </si>
  <si>
    <t>1.3.2.</t>
  </si>
  <si>
    <t xml:space="preserve">Оказание первичной медико-санитарной помощи включенной в базовую программу ОМС и оказываемой  в неотложной форме незастрахованным; не включенной в базовую программу ОМС первичной специализированной медико-санитарной помощи  по профилям "ВИЧ-инфекция", "психиатрия", "наркология", "фтизиатрия", оказываемой в амбулаторных условиях и условиях дневных стационаров. 
Проведение медицинских обследований спортсменов в соответствии с подпунктом 4 пункта 2 статьи 34.3  Федерального закона от  04.12.2007  № 329-ФЗ (ред. от 23.06.2014) «О физической культуре и спорте в Российской Федерации» </t>
  </si>
  <si>
    <t xml:space="preserve">Медицинские организации Мурманской области
</t>
  </si>
  <si>
    <t>Мероприятие "Первичная медико-санитарная помощь, включенная в базовую программу обязательного медицинского страхования"- отсутствие потребности в оказании первичной медико-санитарной помощи за 6 месяцев 2022г. Мероприятие "Осуществление медицинского обеспечения лиц, проходящих спортивную подготовку в государственных областных учреждениях и членов спортивных сборных команд Мурманской области по видам спорта" - расходы производятся по фактической потребности</t>
  </si>
  <si>
    <t>1.3.3.</t>
  </si>
  <si>
    <t>Диспансеризация отдельных категорий граждан</t>
  </si>
  <si>
    <t>Проведение диспансеризации населения с целью раннего выявления заболеваний, патологических состояний и факторов риска их развития у населения в соответствии с приказом Минздрава РФ от 03.02.2015 № 36ан. Количество проведенных диспансеризации в год - не менее 102 800 чел.</t>
  </si>
  <si>
    <t xml:space="preserve">
ТФОМС Мурманской области,
медицинские организации Мурманской области</t>
  </si>
  <si>
    <t>1.3.4.</t>
  </si>
  <si>
    <t>Приобретение иммунобиологических медицинских препаратов для проведения вакцинации  и диагностических исследований, оборудования для хранения вакцин</t>
  </si>
  <si>
    <t xml:space="preserve">Профилактика вакциноуправляемых инфекционных заболеваний </t>
  </si>
  <si>
    <t>Министерство здравоохранения Мурманской области,
ГОБУЗ "Мурманская областная клиническая больница имени П.А.Баяндина"</t>
  </si>
  <si>
    <t>1.3.5.</t>
  </si>
  <si>
    <t>Содержание жилых помещений фельдшерско-акушерских пунктов</t>
  </si>
  <si>
    <t>Оплата коммунальных услуг, земельного и имущественного налогов жилых помещениях фельдшерско-акушерских пунктов</t>
  </si>
  <si>
    <t xml:space="preserve">Министерство здравоохранения Мурманской области, медицинские организации  </t>
  </si>
  <si>
    <t>1.3.6.</t>
  </si>
  <si>
    <t>Ликвидация кадрового дефицита в медицинских организациях, оказывающих первичную медико-санитарную помощь</t>
  </si>
  <si>
    <t>Осуществление мероприятий, направленных на ликвидацию кадрового дефицита в медицинских организациях, оказывающих первичную медико-санитарную помощь (выделение средств нормированного страхового запаса ТФОМС для софинансирования расходов медицинских организаций на оплату труда врачей и среднего медицинского персонала)</t>
  </si>
  <si>
    <t xml:space="preserve">ТФОМС Мурманской области, медицинские организации  </t>
  </si>
  <si>
    <t>1.3.7.</t>
  </si>
  <si>
    <t>Осуществление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t>
  </si>
  <si>
    <t xml:space="preserve">Стимулирование медицинских работников к выявлению онкологических заболеваний на ранних стадиях </t>
  </si>
  <si>
    <t>1.3.8.</t>
  </si>
  <si>
    <t>Финансовое обеспечение расходов, связанных с забором и проведением лабораторного исследования биологического материала на коронавирусную инфекцию (COVID-19) методом полимеразной цепной реакции (ПЦР), в целях предупреждения распространения на территории Мурманской области новой коронавирусной инфекции (COVID-19)</t>
  </si>
  <si>
    <t xml:space="preserve">Проведение лабораторного исследования биологического материала на коронавирусную инфекцию (COVID-19) в целях предупреждения распространения на территории Мурманской области новой коронавирусной инфекции (COVID-19) </t>
  </si>
  <si>
    <t>нет</t>
  </si>
  <si>
    <t>1.3.9.</t>
  </si>
  <si>
    <t>Обеспечение доступности диагностических исследований</t>
  </si>
  <si>
    <t>Улучшение диагностики заболеваний застрахованного населения с применением исследований компьютерной томографии</t>
  </si>
  <si>
    <t>1.3.10.</t>
  </si>
  <si>
    <t>Компенсация затрат, произведенных за счет средств обязательного медицинского страхования при осуществлении в 2020 году заборов и проведения лабораторных исследований биологического материала на новую коронавирусную инфекцию (COVID-19) методом полимеразной цепной реакции (ПЦР) в целях предупреждения распространения на территории Мурманской области новой коронавирусной инфекции (COVID-19)</t>
  </si>
  <si>
    <t xml:space="preserve">Проведение лабораторного исследования биологического материала на коронавирусную инфекцию (COVID-19) в 2020 году в целях предупреждения распространения на территории Мурманской области новой коронавирусной инфекции (COVID-19) </t>
  </si>
  <si>
    <t>1.3.11.</t>
  </si>
  <si>
    <t>Финансовое обеспечение расходов, связанных с арендой помещений в целях временного размещения поликлиники в связи с осуществлением капитального ремонта здания поликлиники ГОБУЗ «Кольская ЦРБ» за счет средств областного бюджета</t>
  </si>
  <si>
    <t xml:space="preserve">Обеспечение оказания медицинской помощи населению Мурманской области </t>
  </si>
  <si>
    <t>ОМ 1.4.</t>
  </si>
  <si>
    <t>Основное мероприятие 4. Обеспечение жителей Мурманской области  необходимыми лекарственными препаратами, медицинскими изделиями и специализированными продуктами лечебного питания при амбулаторном лечении</t>
  </si>
  <si>
    <t>Количество обслуженных рецептов к количеству выписанных рецептов</t>
  </si>
  <si>
    <t>Министерство здравоохранения Мурманской области, медицинские организации</t>
  </si>
  <si>
    <t>1.4.1.</t>
  </si>
  <si>
    <t>Приобретение необходимых лекарственных препаратов, медицинских изделий и специализированных продуктов лечебного питания при амбулаторном лечении</t>
  </si>
  <si>
    <t xml:space="preserve">Удовлетворение потребности жителей Мурманской области в необходимых лекарственных препаратах, медицинских изделиях, специализированных продуктах лечебного питания в соотношении количества обеспеченных рецептов к общему количеству выписанных рецептов - 100% </t>
  </si>
  <si>
    <t>1.4.2.</t>
  </si>
  <si>
    <t>Осуществление организационных мероприятий по обеспечению граждан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</si>
  <si>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Удовлетворение потребности жителей Мурманской области в необходимых лекарственных препаратах, предназначенных для лечения высокозатратных нозологий</t>
  </si>
  <si>
    <t>1.4.3.</t>
  </si>
  <si>
    <t>Обеспечение реализации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ФМБА России</t>
  </si>
  <si>
    <t xml:space="preserve">Удовлетворение потребности жителей ЗАТО в необходимых лекарственных препаратах, медицинских изделиях, специализированных продуктах лечебного питания в соотношении количества обеспеченных рецептов к общему количеству выписанных рецептов - 100% </t>
  </si>
  <si>
    <t>1.4.4.</t>
  </si>
  <si>
    <t>Приобретение лекарственных препаратов  для бесплатного обеспечения граждан с установленным диагнозом ОРВИ, новой коронавирусной инфекции (COVID-19), проходящих  лечение в амбулаторных условиях (на дому), медицинскими организациями, оказывающими первичную медико-санитарную помощь прикрепленному населению в рамках реализации Территориальной программы государственных гарантий бесплатного оказания гражданам медицинской помощи в Мурманской области</t>
  </si>
  <si>
    <t xml:space="preserve">Удовлетворение потребности жителей Мурманской области в необходимых лекарственных препаратах, предназначенных для лечения граждан с установленным диагнозом ОРВИ, новой коронавирусной инфекции (COVID-19), проходящих  лечение в амбулаторных условиях (на дому) </t>
  </si>
  <si>
    <t>1.4.5.</t>
  </si>
  <si>
    <t>Обеспечение содержания аптечного склада</t>
  </si>
  <si>
    <t>Министерство здравоохранения Мурманской области, ГОБУЗ "МОКБ им. П.А. Баяндина"</t>
  </si>
  <si>
    <t>1.4.6.</t>
  </si>
  <si>
    <t>Утилизация лекарственных препаратов, пришедших в негодность по причине истечения срока годности</t>
  </si>
  <si>
    <t>Обеспечение утилизации лекарственных препаратов, пришедших в негодность по причине истечения срока годности</t>
  </si>
  <si>
    <t>Министерство здравоохранения Мурманской области</t>
  </si>
  <si>
    <t>П 1.1</t>
  </si>
  <si>
    <t>Региональный проект "Развитие системы оказания первичной медико-санитарной помощи"</t>
  </si>
  <si>
    <t xml:space="preserve">1.4 Охват населения профосмотрами на туберкулез
1.9 Число лиц, дополнительно эвакуированных с использованием санитарной авиации                                                                                                                                                             0.6 Смертность населения в трудоспособном возрасте
0.7 Ожидаемая продолжительность жизни при рождении
</t>
  </si>
  <si>
    <t>П 1.1.1.</t>
  </si>
  <si>
    <t>Оснащение медицинских организаций передвижными мобильными комплексами для оказания медицинской помощи жителям населенных пунктов с численностью населения до 100 человек</t>
  </si>
  <si>
    <t>Приобретение 4 мобильных медицинских комплексов</t>
  </si>
  <si>
    <t>П 1.1.2.</t>
  </si>
  <si>
    <t>Выполнение авиационных работ в целях оказания медицинской помощи</t>
  </si>
  <si>
    <t xml:space="preserve">Выполнение вылетов санитарной авиации дополнительно к вылетам, осуществляемым за счет собственных средств бюджета Мурманской области: 123 в 2021 году, 137 в 2022 году, 150 в 2023 году </t>
  </si>
  <si>
    <t>П 1.2.</t>
  </si>
  <si>
    <t>Региональный проект "Укрепление общественного здоровья"</t>
  </si>
  <si>
    <t xml:space="preserve">1.1. Розничные продажи алкогольной продукции на душу населения (в литрах) </t>
  </si>
  <si>
    <t>Министерство здравоохранения Мурманской области, ГОАУЗ "МОЦСВМП", медицинские организации</t>
  </si>
  <si>
    <t>П 1.2.1.</t>
  </si>
  <si>
    <t>Реализация коммуникационной кампании по мотивированию граждан к ведению здорового образа жизни</t>
  </si>
  <si>
    <t xml:space="preserve">Проведение коммуникационных кампаний, в том числе с привлечением социально ориентированных некоммерческих организаций и волонтерских движений </t>
  </si>
  <si>
    <t>За 6 мес. 2022г. выполнено 288 мероприятий:_x000D_
на областных каналах теле – и радиовещания  организовано 12 выпусков  тематических  теле- и радиопередач, подготовлено 3 выступления в «прямом» эфире на радио;  размещено 47 публикаций тематических статей и информационных модулей в областных печатных изданиях; проведено 102 информационно-образовательных мероприятий (4208 чел.); в рамках межведомственного взаимодействия принято участие в 14 образовательных мероприятиях;  организован прокат 5 видеороликов по профилактике инсульта, инфаркта, артериальной гипертонии, популяризации диспансеризации и здорового питания на федеральных каналах телевидения (171 прокат);  организована трансляция 4 социальных аудиороликов на радиостанциях (315 выходов); изготовлено 9 наименований печатных материалов  (53512 экз.)._x000D_
Изготовлены и размещены баннеры: «Ешьте овощи и фрукты – это лучшие продукты!»  вдоль дорожной эстакады,  «Береги здоровье! Контролируй давление!» на пилларе в центре г. Мурманска; осуществлен прокат 4 тематических плакатов по пропаганде здорового образа жизни, профилактике табакокурения, популяризации диспансеризации и пропаганде трезвости в количестве 340 экземпляров;    прокат 4 информационных видеороликов на 2 больших светодиодных экранах в г. Мурманске (фасад  кинотеатра «Мурманск», экран на центральной площади «Пять Углов») и на мониторах LED-экранов на 16 автозаправочных станциях «Роснефть»; транслировались 3 социальных аудиоролика в ТРЦ «Форум» (252 выхода) и др.</t>
  </si>
  <si>
    <t>Министерство здравоохранения Мурманской области, ГОАУЗ "МОЦСВМП" , медицинские организации</t>
  </si>
  <si>
    <t>П 1.3.</t>
  </si>
  <si>
    <t>Региональный проект "Борьба с сердечно-сосудистыми заболеваниями"</t>
  </si>
  <si>
    <t xml:space="preserve">0.9 Доля лиц, обеспеченных лекарственными препаратами в амбулаторных условиях, в общем числе лиц, которые перенесли острое нарушение мозгового кровообращения, инфаркт миокарда, а также которым были выполнены аортокоронарное шунтирование, ангиопластика коронарных артерий со стентированием и катетерная абляция по поводу сердечно-сосудистых заболеваний, находящихся под диспансерным наблюдением;                                                                           0.3 Смертность от болезней системы кровообращения </t>
  </si>
  <si>
    <t>П 1.3.1.</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</si>
  <si>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</si>
  <si>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Удовлетворение потребности жителей Мурманской области в необходимых лекарственных препаратах, предназначенных для граждан, которым выполнены аортально-коронарное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 миокарда в амбулаторных условиях.</t>
  </si>
  <si>
    <t>2.</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</si>
  <si>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медицинской реабилитации и паллиативной помощи"</t>
  </si>
  <si>
    <t>Министерство здравоохранения Мурманской области, 
ТФОМС Мурманской области,
медицинские организации, НКО</t>
  </si>
  <si>
    <t>ОМ 2.1.</t>
  </si>
  <si>
    <t>Основное мероприятие 1. Предоставление услуг по оказанию специализированной медицинской помощи, паллиативной помощи</t>
  </si>
  <si>
    <t xml:space="preserve">2.1. Больничная летальность от инфаркта миокарда;
2.2. Больничная летальность от острого нарушения мозгового кровообращения;
2.3 Количество рентген -эндоваскулярных вмешательств в лечебных целях
2.4. Доля злокачественных новообразований, выявленных на ранних стадиях;
2.5.Одногодичная летальность  больных  со злокачественными новообразованиями;
2.6. Удельный вес больных злокачественными новообразованиями, состоящих на учете с момента установления диагноза 5 лет и более;
2.7. Доля ВИЧ-инфицированных лиц, получающих антиретровирусную терапию, от числа состоящих на диспансерном учете.
</t>
  </si>
  <si>
    <t xml:space="preserve">Министерство здравоохранения Мурманской области, 
ТФОМС Мурманской области,
медицинские организации,  
НКО
</t>
  </si>
  <si>
    <t>2.1.1.</t>
  </si>
  <si>
    <t xml:space="preserve">Приобретение лекарственных средств, расходного материала, диагностических средств, изделий  медицинского назначения, средств индивидуальной защиты органов дыхания от инфекций, передаваемых воздушно-капельным путем 
</t>
  </si>
  <si>
    <t>Приобретение лекарственных средств для лечения ВИЧ-инфицированных,  расходных материалов для проведения лабораторных исследований ВИЧ-инфицированным, больным туберкулезом,  средств индивидуальной защиты органов дыхания от инфекций, передаваемых воздушно-капельным путем, для сотрудников МОПТД</t>
  </si>
  <si>
    <t>Министерство здравоохранения Мурманской области, медицинские организации Мурманской области</t>
  </si>
  <si>
    <t>2.1.2.</t>
  </si>
  <si>
    <t>Специализированная медицинская помощь (за исключением высокотехнологичной медицинской помощи), включенная в базовую и сверхбазовую программу обязательного медицинского страхования</t>
  </si>
  <si>
    <t>Оказание специализированной медицинской помощи (за исключением высокотехнологичной медицинской помощи) в соответствии с порядками и стандартами оказания медицинской помощи</t>
  </si>
  <si>
    <t>Медицинские организации, 
ТФОМС Мурманской области</t>
  </si>
  <si>
    <t>2.1.3.</t>
  </si>
  <si>
    <t xml:space="preserve">Оказание специализированной медицинской помощи (за исключением высокотехнологичной медицинской помощи), не включенной в базовую программу обязательного медицинского страхования, по профилям ВИЧ-инфекция, "Психиатрия", "Психиатрия-наркология",  "Фтизиатрия" в соответствии с порядками и стандартами оказания медицинской помощи; проведение медицинского освидетельствования на состояние опьянения (алкогольного, наркотического или иного токсического); оказание паллиативной медицинской помощи; проведение психиатрического освидетельствования; обеспечение лечебным и профилактическим питанием; проведение патологоанатомических исследований.
Проведение скрининговых исследований, направленных на предупреждение распространения ВИЧ-инфекции, выявление заболевания на ранних стадиях. Обеспечение проведения лабораторных исследований для медицинских организаций, не работающих в системе ОМС </t>
  </si>
  <si>
    <t>за 6 мес 2022 года выполнены :_x000D_
1) лабораторные исследования на ВИЧ-инфекцию 6068 ед._x000D_
2) лабораторные исследования (кроме лаб. исслед. на ВИЧ-инфекцию) 16675 ед.</t>
  </si>
  <si>
    <t>Расходы производятся по фактической потребности</t>
  </si>
  <si>
    <t>2.1.4.</t>
  </si>
  <si>
    <t>Создание, накопление, сохранение и обновление запасов  материальных ценностей мобилизационного и государственного резервов</t>
  </si>
  <si>
    <t>Формирование запасов материальных ценностей государственного и мобилизационного резервов, предназначенных для обеспечения мобилизационных нужд;  обеспечения неотложных работ при ликвидации последствий чрезвычайных ситуаций</t>
  </si>
  <si>
    <t>Выполняются операции по накоплению, хранению (содержанию), освежению запасов для мобилизационных нужд здравоохранения</t>
  </si>
  <si>
    <t>Министерство здравоохранения Мурманской области, ГОКУЗ ОТ МЦ "Резерв"</t>
  </si>
  <si>
    <t>2.1.5.</t>
  </si>
  <si>
    <t>Проведение профилактики инфекционных заболеваний (ИППП, ВИЧ-инфекции, гепатиты В и С)</t>
  </si>
  <si>
    <t xml:space="preserve">Обеспечение производства и распространения социальной рекламы по вопросам профилактики ИППП и ВИЧ-инфекции, вирусных гепатитов (аудио- и видеороликов, буклетов и брошюр), обеспечение доступа определенных уязвимых групп населения к скрининговому обследованию,  медицинскому освидетельствованию,  лечению ВИЧ-инфекции  </t>
  </si>
  <si>
    <t>За 6 мес. 2022 г. по вопросам профилактики, диагностики и лечения ВИЧ-инфекции проведены мероприятия: на областных каналах теле- и радиовещания выпущена тематическая  передача «ВИЧ-инфекция: профилактика и лечение» (6 выпусков); организована пресс-конференция, посвященная Всемирному дню памяти жертв СПИДа; в печатных изданиях опубликовано 6 информационных  материалов; на федеральных каналах телевидения размещено 6 социальных видеороликов (300 прокатов); осуществлена трансляция 2 тематических аудиороликов на  радиостанциях г. Мурманска и области (330 выходов); организовано и проведено 5 акций в местах массового скопления людей и 6 выездов мобильной лаборатории автобуса «Доверие» (охват тестированием – 114 человек); организован прокат видеоролика «Профилактика ВИЧ-инфекции» на 2 больших светодиодных экранах в центре города Мурманска (фасад кинотеатра «Мурманск», на площади «Пять углов»), на мониторах LED-экранов на 16 автозаправочных станциях «Роснефть» и 18 аптеках сети «Для бережливых»; размещено 5 информационных баннеров на металлоконструкциях и пилларах в центре г. Мурманска; изготовлен буклет «Что необходимо знать об ИППП» в количестве 5000 экземпляров;  осуществлен прокат плаката «Остановим ВИЧ вместе!» в 160 единицах общественного транспорта г. Мурманска; по г. Мурманску с 20.03.2022 курсирует троллейбус, на бортах которого размещена социальная реклама для привлечения жителей пройти обследование на ВИЧ-инфекцию  и др.</t>
  </si>
  <si>
    <t>2.1.6.</t>
  </si>
  <si>
    <t>Приобретение лекарственных препаратов, применяемых в условиях стационара, для лечения других редких заболеваний, за исключением орфанных заболеваний, перечень которых утвержден постановлением Правительства РФ от 26.04.2012 № 403</t>
  </si>
  <si>
    <t>Удовлетворение потребности жителей Мурманской области,  страдающих другими редкими заболеваниями,  в необходимых лекарственных препаратах для лечения в условиях стационара</t>
  </si>
  <si>
    <t>2.1.7.</t>
  </si>
  <si>
    <t>Обеспечение лекарственными препаратами, в том числе для обезболивания, пациентов, получающих паллиативную медицинскую помощь</t>
  </si>
  <si>
    <t>Удовлетворение потребности жителей Мурманской области в оказании паллиативной помощи в части лекарственного обеспечения, в том числе для обезболивания</t>
  </si>
  <si>
    <t>2.1.8.</t>
  </si>
  <si>
    <t>Приобретение оборудования, изделий, мебели и автотранспорта для обеспечения деятельности медицинских
организаций, оказывающих
паллиативную медицинскую
помощь</t>
  </si>
  <si>
    <t>Приобретение оборудования, изделий, мебели и автотранспорта для медицинских учреждений</t>
  </si>
  <si>
    <t>2.1.9.</t>
  </si>
  <si>
    <t>Приобретение необходимых лекарственных препаратов для обеспечения пациентов, страдающих орфанными заболеваниями, при стационарном лечении</t>
  </si>
  <si>
    <t>Удовлетворение потребности жителей Мурманской области,  страдающих орфанными заболеваниями,  в необходимых лекарственных препаратах при стационарном лечении</t>
  </si>
  <si>
    <t>Проведение мероприятий по обеспечению коек для лечения пациентов с новой коронавирусной инфекцией (COVID-19) кислородом</t>
  </si>
  <si>
    <t>Монтаж оборудования систем медицинского газоснабжения в МОКБ ,Кольская ЦРБ, Оленегорская ЦГБ</t>
  </si>
  <si>
    <t>2.1.10.</t>
  </si>
  <si>
    <t>Приобретение средств индивидуальной защиты для работников медицинских организаций в условиях распространения новой коронавирусной инфекцией (COVID-19)</t>
  </si>
  <si>
    <t>Приобретение средств индивидуальной защиты для работников медорганизаций - 2 947 400 шт.</t>
  </si>
  <si>
    <t>Мнистерство здравоохранения Мурманской области, медицинские организации</t>
  </si>
  <si>
    <t>2.1.11.</t>
  </si>
  <si>
    <t>Приобретение  лекарственных препаратов для обеспечения граждан с установленным диагнозом новой коронавирусной инфекции (COVID-19) при лечении в стационарных условиях</t>
  </si>
  <si>
    <t>ОМ 2.2.</t>
  </si>
  <si>
    <t>Основное мероприятие 2. Предоставление услуг по оказанию специализированной, в том числе высокотехнологичной медицинской помощи</t>
  </si>
  <si>
    <t>2.3 Количество рентген -эндоваскулярных вмешательств в лечебных целях                                                                                   0.4 Смертность от новообразований (в том числе от злокачественных)</t>
  </si>
  <si>
    <t>Министерство здравоохранения Мурманской области,  ТФОМС Мурманской области, медицинские организации</t>
  </si>
  <si>
    <t>2.2.1.</t>
  </si>
  <si>
    <t>Высокотехнологичная медицинская помощь, включенная в базовую программу обязательного медицинского страхования</t>
  </si>
  <si>
    <t xml:space="preserve">Оказание высокотехнологичной медицинской помощи,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t>
  </si>
  <si>
    <t>2.2.2.</t>
  </si>
  <si>
    <t>Оказание высокотехнологичной медицинской помощи, не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Обеспечение функционирования Центра ВМП при ГОБУЗ "МОКБ им. П.А. Баяндина". 
Формирование  заявок на санаторно-курортное лечение</t>
  </si>
  <si>
    <t>В рамках мероприятия по оказанию высокотехнологичной медицинской помощи, не включенной в базовую программу обязательного медицинского страхования по итогам 6 месяцев 2022 года выполнено 1048 случаев (62,2% от плана - 1686 чел.). Прогноз выполнения в 2022 году – 2 282чел.). Проведены работы по оформлению заявок на оказание высокотехнологичной и специализированной медицинской помощи и внесению данных заявителя в лист ожидания в количестве 9 135 шт. на 30.06.2022, что составляет 74,1% от плана (12 320), что объясняется нуждаемостью населения Мурманской области в получении высокотехнологичной и специализированной медицинской помощи.</t>
  </si>
  <si>
    <t>Министерство здравоохранения Мурманской области, 
ГОБУЗ "Мурманская областная клиническая больница имени П.А.Баяндина"
ГОБУЗ МОКМЦ
ГОАУЗ "Мурманский областной центр лечебной физкультуры и спортивной медицины"</t>
  </si>
  <si>
    <t>2.2.3.</t>
  </si>
  <si>
    <t>Оплата медицинских услуг по оказанию  специализированной, в том числе высокотехнологичной, медицинской помощи в медицинских организациях, расположенных за пределами региона, в том числе по пересадке донорских органов</t>
  </si>
  <si>
    <t>Оплата медицинских услуг по оказанию специализированной, в том числе высокотехнологичной, медицинской помощи за пределами региона по предъявленным счетам на оплату от медицинских организаций</t>
  </si>
  <si>
    <t>Министерство здравоохранения Мурманской области,
ГОБУЗ "Мурманский областной онкологический диспансер"</t>
  </si>
  <si>
    <t>ОМ 2.3.</t>
  </si>
  <si>
    <t>Основное мероприятие 3. Развитие медицинской реабилитации</t>
  </si>
  <si>
    <t xml:space="preserve">2.1. Больничная летальность от инфаркта миокарда; 2.2. Больничная летальность от острого нарушения мозгового кровообращения
</t>
  </si>
  <si>
    <t xml:space="preserve">
Министерство здравоохранения Мурманской области, медицинские организации, ТФОМС Мурманской области</t>
  </si>
  <si>
    <t>2.3.1.</t>
  </si>
  <si>
    <t>Медицинская реабилитация в условиях круглосуточного стационара</t>
  </si>
  <si>
    <t>Оказание  медицинской реабилитационной помощи в условиях круглосуточного стационара в соответствии с территориальной программой государственных гарантий бесплатного оказания гражданам медицинской помощи</t>
  </si>
  <si>
    <t xml:space="preserve">
Медицинские организации, ТФОМС Мурманской области</t>
  </si>
  <si>
    <t>2.3.2.</t>
  </si>
  <si>
    <t>Медицинская реабилитация в условиях дневного стационара</t>
  </si>
  <si>
    <t>Оказание  медицинской реабилитационной помощи в условиях дневного стационара в соответствии с территориальной программой государственных гарантий бесплатного оказания гражданам медицинской помощи</t>
  </si>
  <si>
    <t>ОМ 2.4.</t>
  </si>
  <si>
    <t>Основное мероприятие 4. Организация оказания экстренной и скорой медицинской помощи, в том числе санитарно-авиационной</t>
  </si>
  <si>
    <t>2.8. Доля выездов бригад скорой медицинской помощи со временем доезда до больного менее 20 минут   0.6 Смертность населения в трудоспособном возрасте                                                     0.1 Смертность от всех причин</t>
  </si>
  <si>
    <t xml:space="preserve"> Министерство здравоохранения Мруманской области, медицинские организации,
 ТФОМС Мурманской области</t>
  </si>
  <si>
    <t>2.4.1.</t>
  </si>
  <si>
    <t>Скорая медицинская помощь, включенная в базовую и сверхбазовую программу обязательного медицинского страхования</t>
  </si>
  <si>
    <t>Оказание  скорой медицинской помощи в соответствии с территориальной программой государственных гарантий бесплатного оказания гражданам медицинской помощи</t>
  </si>
  <si>
    <t>Медицинские организации, ТФОМС Мурманской области</t>
  </si>
  <si>
    <t>2.4.2.</t>
  </si>
  <si>
    <t>Оказание специализированной медицинской помощи (за исключением высокотехнологичной медицинской помощи), включенной в базовую программу обязательного медицинского страхования, оказываемой в стационарных условиях в экстренной форме; оказание скорой, в том числе скорой специализированной, медицинской помощи (включая медицинскую эвакуацию), включенной и не включенной в базовую программу обязательного медицинского страхования, а также оказание медицинской помощи при чрезвычайных ситуациях; оказание специализированной (санитарно-авиационной) скорой медицинской помощи; медицинское сопровождение к месту проведения амбулаторного гемодиализа и после его проведения. Обеспечение автомобильным транспортом медицинских организаций, расположенных в городе Мурманске</t>
  </si>
  <si>
    <t>Мероприятие "Специализированная медицинская помощь (за исключением высокотехнологичной медицинской помощи), включенная в базовую программу обязательного медицинского страхования": Выполнение за 1 полугодие 2022г. по случаям госпитализации составило 86%</t>
  </si>
  <si>
    <t>Медицинские организации</t>
  </si>
  <si>
    <t>2.4.3.</t>
  </si>
  <si>
    <t>Обеспечение транспортировки в медицинские организации Мурманской области отдельных категорий граждан</t>
  </si>
  <si>
    <t xml:space="preserve">Транспортировка пациентов, не нуждающихся в медицинском сопровождении, до места проведения гемодиализа и обратно </t>
  </si>
  <si>
    <t>Расходы производятся ежемесячно по выставленным счетам</t>
  </si>
  <si>
    <t>2.4.4.</t>
  </si>
  <si>
    <t>Субсидия на финансовое обеспечение улучшения оказания скорой медицинской помощи</t>
  </si>
  <si>
    <t>Оказание скорой, в том числе скорой специализированной, медицинской помощи (включая медицинскую эвакуацию), включенной в базовую программу обязательного медицинского страхования</t>
  </si>
  <si>
    <t>ГОБУЗ МОССМП</t>
  </si>
  <si>
    <t>2.4.5.</t>
  </si>
  <si>
    <t>Обеспечение специальной одеждой работников выездных бригад скорой медицинской помощи</t>
  </si>
  <si>
    <t>Приобретение специальной одежды для работников выездных бригад скорой медицинской помощи в целях соблюдения трудового законодательства</t>
  </si>
  <si>
    <t>ОМ 2.5.</t>
  </si>
  <si>
    <t>Основное мероприятие 5. Привлечение населения к донорству</t>
  </si>
  <si>
    <t xml:space="preserve">2.10 Количество донаций крови и ее компонентов на 1 донора Мурманской области </t>
  </si>
  <si>
    <t xml:space="preserve"> Министерство здравоохранения Мурманской области, медицинские организации</t>
  </si>
  <si>
    <t>2.5.1.</t>
  </si>
  <si>
    <t>Приобретение методических материалов и средств наглядной агитации, сувенирной продукции и значков с логотипом о донорстве</t>
  </si>
  <si>
    <t>Пропаганда донорства с целью привлечения новых доноров</t>
  </si>
  <si>
    <t>ГОБУЗ "Мурманская областная станция переливания крови"</t>
  </si>
  <si>
    <t>2.5.2.</t>
  </si>
  <si>
    <t>Обеспечение доноров бесплатным питанием с учетом замены бесплатного питания денежной компенсацией и сдачи крови и ее компонентов за плату</t>
  </si>
  <si>
    <t>Стимулирование доноров к регулярной сдаче крови</t>
  </si>
  <si>
    <t>Выполнение за 1 полугодие 2022г. по количеству  крово- и плазмодач  составило 54%.</t>
  </si>
  <si>
    <t>Медицинские организации Мурманской области</t>
  </si>
  <si>
    <t>ОМ 2.6.</t>
  </si>
  <si>
    <t>Основное мероприятие 6. Обеспечение заготовки, хранения и переработки крови и ее компонентов</t>
  </si>
  <si>
    <t>ГОБУЗ "Мурманская областная станция переливания крови", ГОАУЗ "Мончегорская ЦРБ", ГОБУЗ "Апатитско-Кировская ЦГБ"</t>
  </si>
  <si>
    <t>2.6.1.</t>
  </si>
  <si>
    <t>Приобретение расходного материала, диагностических средств и изделий медицинского назначения для  ГОБУЗ "Мурманская областная станция переливания крови"</t>
  </si>
  <si>
    <t>Приобретение расходного материала, диагностических средств и изделий медицинского назначения для  обеспечения  забора крови и контроля за ее безопасностью</t>
  </si>
  <si>
    <t>2.6.2.</t>
  </si>
  <si>
    <t>Заготовка консервированной донорской крови и переработка консервированной крови на компоненты с целью удовлетворения потребностей в компонентах крови</t>
  </si>
  <si>
    <t>Выполнение за 1 полугодие 2022г. по количеству условных единиц продукта преработки (в пересчете на 1 литр цельной крови) составило 109%.</t>
  </si>
  <si>
    <t>ОМ 2.7.</t>
  </si>
  <si>
    <t>Основное мероприятие 7. Обеспечение проведения судебно-медицинской и судебно-психиатрической экспертизы</t>
  </si>
  <si>
    <t>2.9 Удовлетворенность потребности в судебно-медицинских и судебно-психиатрических исследованиях</t>
  </si>
  <si>
    <t>Министерство здравоохранения Мурманской области, ГОБУЗ "Областное Мурманское  бюро судебно-медицинской экспертизы", 
ГОБУЗ "Мурманский областной психоневрологический диспансер", 
ГОБУЗ "Мурманская областная психиатрическая больница"</t>
  </si>
  <si>
    <t>2.7.1.</t>
  </si>
  <si>
    <t xml:space="preserve">Обеспечение проведения судебно-медицинской и судебно-психиатрической экспертизы по направлению следственных органов </t>
  </si>
  <si>
    <t>ГОБУЗ "Областное Мурманское бюро судебно-медицинской экспертизы", ГОБУЗ "Мурманский областной психоневрологический диспансер", 
ГОБУЗ "Мурманская областная психиатрическая больница"</t>
  </si>
  <si>
    <t>Заработная плата за июнь выплачена сотрудникам 05.07.2022</t>
  </si>
  <si>
    <t>ОМ 2.8.</t>
  </si>
  <si>
    <t xml:space="preserve">Основное мероприятие 8 "Обеспечение проведения мероприятий, направленных на улучшение качества медицинской помощи, в том числе выполнение научно-исследовательской работы  по оценке системы здравоохранения Мурманской области и разработке рекомендаций по повышению ее эффективности"
</t>
  </si>
  <si>
    <t xml:space="preserve">2.5 Одногодичная летальность больных со злокачественными новообразованиями;
2.6 Удельный вес больных злокачественными новообразованиями, состоящих на учете с момента установления диагноза 5 лет и более;
2.4. Доля злокачественных новообразований, выявленных на ранних стадиях
</t>
  </si>
  <si>
    <t xml:space="preserve">Министерство здравоохранения Мурманской области, медицинские организации 
</t>
  </si>
  <si>
    <t>2.8.1.</t>
  </si>
  <si>
    <t xml:space="preserve">Участие в проведении документарных проверках в рамках ведомственного  контроля качества и безопасности медицинской деятельности, анкетирование и обработка результатов анкетирования по оценке качества и доступности медицинской помощи населения Мурманской области  в медицинских организациях, подведомственных Министерству здравоохранения Мурманской области, обеспечение проведения экспертизы документов, направленных медицинскими организациями, с целью осуществления закупок по жизненным показаниям необходимых лекарственных препаратов </t>
  </si>
  <si>
    <t>Организована и проведена работа «горячей линии» Министерства здравоохранения Мурманской области по вопросам оказания медицинской помощи населению области. За 6 месяцев 2022 года обработано 5548 обращений граждан.  _x000D_
    С целью реализации в 2022 году пункта 140 "Создание единой интернет-площадки «Здоровый регион 51»" дорожной карты мероприятий плана «На Севере жить 2030» осуществлены мероприятия:  разработаны структура и концепция интернет-площадки "Здоровый регион 51" в новом формате для информирования населения Мурманской области о принципах ведения здорового образа жизни и профилактике заболеваний; осуществлен запуск интернет-площадки в тестовом режиме с наполнением информационными материалами и рекомендациями._x000D_
Независимая оценка удовлетворенности медицинской помощью населения Мурманской области в медицинских организациях, подведомственных Министерству здравоохранения Мурманской области, будет проведена специалистами ЦОЗМП согласно приказу МЗ МО во втором полугодии 2022 г. (план – 700 анкет).</t>
  </si>
  <si>
    <t>ГОБУЗ "Мурманская областная клиническая больница имени П.А.Баяндина"
ГОАУЗ "МОЦСВМП"</t>
  </si>
  <si>
    <t>П 2.1.</t>
  </si>
  <si>
    <t>Региональный проект "Борьба с онкологическими заболеваниями"</t>
  </si>
  <si>
    <t xml:space="preserve">0.4. Смертность от новообразований (в том числе от злокачественных);
2.6. Удельный вес больных злокачественными новообразованиями, состоящих на учете с момента установления диагноза 5 лет и более; 
2.4. Доля злокачественных новообразований, выявленных на ранних стадиях          </t>
  </si>
  <si>
    <t>П 2.1.1.</t>
  </si>
  <si>
    <t>Переоснащение медицинским оборудованием сети региональных медицинских организаций, оказывающих помощь больным онкологическими заболеваниями (диспансеров/больниц)</t>
  </si>
  <si>
    <t xml:space="preserve">
Переоснащение медицинских организаций ГОБУЗ "МОКБ им. П.А. Баяндина" и ГОБУЗ "Мурманский областной онкологичекий диспансер"</t>
  </si>
  <si>
    <t>П 2.1.2.</t>
  </si>
  <si>
    <t>Финансовое обеспечение оказания медицинской помощи больным с онкологическими заболеваниями в соответствии с клиническими рекомендациями и протоколами лечения</t>
  </si>
  <si>
    <t>Обеспечение доведения финансовых средств ТФОМС Мурманской области до медицинских организаций на оказание медицинской помощи больным с онкологическими заболеваниями в соответствии с клиническими рекомендациями  в рамках территориальной программы государственных гарантий бесплатного оказания гражданам медицинской помощи</t>
  </si>
  <si>
    <t>П 2.2.</t>
  </si>
  <si>
    <t xml:space="preserve">2.1. Больничная летальность от инфаркта миокарда;
2.2. Больничная летальность от острого нарушения мозгового кровообращения
2.3 Количество рентген -эндоваскулярных вмешательств в лечебных целях, проведенных больным с острым коронарным синдромом;
0.3 Смертность от болезней системы кровообращения
</t>
  </si>
  <si>
    <t>П 2.2.1.</t>
  </si>
  <si>
    <t>Переоснащение/дооснащение  медицинским оборудованием регионального сосудистого центра, первичных сосудистых отделений медицинских организаций</t>
  </si>
  <si>
    <t>Обеспечение снижения смертности от болезней системы кровообращения путем переоснащения/дооснащения медицинским оборудованием регионального сосудистого центра, первичных сосудистых отделений медицинским оборудованием.
Переоснащение медицинских организаций ГОБУЗ "МОКБ им. П.А. Баяндина", ГОБУЗ "Мурманский областной клинический многопрофильный центр"  и ГОАУЗ "Мончегорская ЦРБ"</t>
  </si>
  <si>
    <t>3.</t>
  </si>
  <si>
    <t>Подпрограмма 3. "Охрана здоровья матери и ребенка"</t>
  </si>
  <si>
    <t xml:space="preserve">Министерство здравоохранения Мурманской области, медицинские организации, 
ТФОМС Мурманской области
</t>
  </si>
  <si>
    <t>ОМ 3.1.</t>
  </si>
  <si>
    <t>Основное мероприятие 1.  Применение современных методик диагностики и лечения матерей и детей</t>
  </si>
  <si>
    <t>3.4. Охват неонатальным скринингом;
3.5. Охват аудиологическим скринингом</t>
  </si>
  <si>
    <t>Министерство здравоохранения Мурманской области, медицинские организации,
ТФОМС Мурманской области</t>
  </si>
  <si>
    <t>3.1.1.</t>
  </si>
  <si>
    <t xml:space="preserve">Проведение пренатальной (дородовой) диагностики нарушений развития ребенка у беременных женщин, неонатального скрининга на 5 наследственных и врожденных заболеваний </t>
  </si>
  <si>
    <t>3.1.2.</t>
  </si>
  <si>
    <t>Проведение экстракорпорального оплодотворения семьям по медицинским показаниям в рамках базовой программы обязательного медицинского страхования</t>
  </si>
  <si>
    <t>Обеспечение проведения экстракорпорального оплодотворения по медицинским показаниям в соответствии с территориальной программой государственных гарантий бесплатного оказания гражданам медицинской помощи</t>
  </si>
  <si>
    <t>ОМ 3.2.</t>
  </si>
  <si>
    <t>Основное мероприятие 2. Обеспечение оказания медицинской помощи матерям и детям, проведения медицинской и медико-социальной реабилитации матерей и детей</t>
  </si>
  <si>
    <t>3.1. Смертность детей в возрасте 0-4 года;
3.2. Смертность детей в возрасте 0-17 лет, 
3.3. Доля посещений детьми медицинских организаций с профилактическими целямиктическими целями                                                                                                                0.2 Младенческая смертность</t>
  </si>
  <si>
    <t>Министерство здравоохранения Мурманской области, 
медицинские организации</t>
  </si>
  <si>
    <t>3.2.1.</t>
  </si>
  <si>
    <t>Приобретение специальных питательных смесей для беременных женщин, кормящих матерей и детей в возрасте до 3-х лет жизни из малоимущих семей и по спецпоказаниям</t>
  </si>
  <si>
    <t>Обеспечение полноценного питания беременных и кормящих женщин, детей до 3 лет</t>
  </si>
  <si>
    <t>3.2.2.</t>
  </si>
  <si>
    <t>Организация круглосуточного приема, содержания, выхаживания и воспитания детей, оказание медицинской (в том числе психиатрической), социальной и психолого-педагогической помощи детям, находящимся в трудной жизненной ситуации в специализированных домах ребенка</t>
  </si>
  <si>
    <t xml:space="preserve">Министерство здравоохранения Мурманской области, ГОБУЗ «ОСДР»,
ГОБУЗ «МОДРС»
</t>
  </si>
  <si>
    <t>П 3.1.</t>
  </si>
  <si>
    <t>Региональный проект "Развитие детского здравоохранения Мурманской области, включая создание современной инфраструктуры оказания медицинской помощи детям"</t>
  </si>
  <si>
    <t xml:space="preserve">3.1. Смертность детей в возрасте 0-4 года; 
3.2. Смертность детей в возрасте 0-17 лет; 
3.3. Доля посещений детьми медицинских организаций с профилактическими целями.
0.2 Младенческая смертность
</t>
  </si>
  <si>
    <t>Подпрограмма 4. "Развитие инфраструктуры системы здравоохранения"</t>
  </si>
  <si>
    <t xml:space="preserve">
Министерство здравоохранения Мурманской области, Министерство строительства Мурманской области,подведомственные учреждения</t>
  </si>
  <si>
    <t>4.</t>
  </si>
  <si>
    <t>ОМ 4.1.</t>
  </si>
  <si>
    <t>Основное мероприятие 1. Укрепление материально-технической базы учреждений здравоохранения</t>
  </si>
  <si>
    <t xml:space="preserve">4.1 Доля государственных учреждений здравоохранения, здания которых находятся в аварийном состоянии или требуют капитального ремонта, в общем количестве государственных учреждений здравоохранения                                                                                               4.2 Количество объектов, отремонтированных в рамках программы
</t>
  </si>
  <si>
    <t xml:space="preserve">Министерство здравоохранения Мурманской области, 
подведомственные учреждения, </t>
  </si>
  <si>
    <t>4.1.1.</t>
  </si>
  <si>
    <t>Приобретение медицинского оборудования и мебели для обеспечения деятельности медицинских организаций</t>
  </si>
  <si>
    <t>Приобретение медицинского оборудования и мебели для 19 медицинских организаций в 2021 году
Приобретение медицинского оборудования и мебели для 17 медицинских организаций в 2022 году</t>
  </si>
  <si>
    <t>Министерство здравоохранения Мурманской области, 
подведомственные учреждения</t>
  </si>
  <si>
    <t>Расходы производятся в соответствии с заключенными договорами</t>
  </si>
  <si>
    <t>4.1.2.</t>
  </si>
  <si>
    <t xml:space="preserve">Капитальные ремонты объектов здравоохранения </t>
  </si>
  <si>
    <t xml:space="preserve">Проведение капитальных ремонтов объектов системы здравоохранения, в том числе разработка проектной документации (8 объектов ( в т.ч. разработка ПСД -6 объектов) в 2021 году, 18 объектов (в т.ч. разработка ПСД  - 10 объектов, ремонт -4 объектов ,  завершение работ по разработке проектной документации по контрактам, заключенным в 2021 году - 4 объекта) в 2022 году, 6 объектов в 2023 году, 4 объекта в 2024 году)   </t>
  </si>
  <si>
    <t>Министерство строительства Мурманской области, 
ГОКУ "Управление капитального строительства Мурманской области"</t>
  </si>
  <si>
    <t>4.1.3.</t>
  </si>
  <si>
    <t>Приведение объектов здравоохранения в соответствие с требованиями, установленными нормативными правовыми актами, в целях обеспечения медицинской деятельности</t>
  </si>
  <si>
    <t xml:space="preserve">Проведение капитальных и текущих ремонтов, разработка проектной (сметной) документации, приобретение немедицинского оборудования, мебели, в т.ч. кулеров, элементов системы навигации, телевизоров, проведение геодезических,геологических,кадастровых работ, необходимых замеров, технологического присоединения и др. дополнительных работ.
(завершение работ на 13 объектах в 2021 году, на  52 объектах в 2022 году, в 2023 году - 6 объекта  в 2024 году - 4 объектах  в 2025 году -3 объектах)   </t>
  </si>
  <si>
    <t>Министерство здравоохранения Мурманской области, подведомственные учреждения</t>
  </si>
  <si>
    <t>4.1.4.</t>
  </si>
  <si>
    <t>Приобретение оборудования, необходимого для оснащения учреждений, оказывающих медицинскую помощь пациентам с новой коронавирусной инфекцией (COVID-19)</t>
  </si>
  <si>
    <t>Приобретение оборудования для  МЦРБ - 117 ед, Кольская ЦРБ - 56 ед, МОКБ - 482 ед, МОКМЦ - 50 ед, ОЦГБ - 33 ед, МОДКБ - 8 ед, АКЦГБ - 10 ед, МОЦСВМП - 8 ед, ЦРБ Североморск - 60 ед.</t>
  </si>
  <si>
    <t>4.1.5.</t>
  </si>
  <si>
    <t>Разработка проекта сокращения санитарного разрыва автомобильной стоянки в рамках разработки проектной документации на объект "Реконструкция зданий ГОБУЗ "Мурманский областной онкологический диспансер"</t>
  </si>
  <si>
    <t>Разработка проектно-сметной документации на объект реконструкции</t>
  </si>
  <si>
    <t>4.1.6.</t>
  </si>
  <si>
    <t>Поставка и монтаж модульных конструкций</t>
  </si>
  <si>
    <t>Поставка и монтаж 1 ед модульной конструкции в 2021 году, 3 ед модульной конструкции в 2022 году</t>
  </si>
  <si>
    <t>4.1.7.</t>
  </si>
  <si>
    <t>Создание условий доступности в учреждениях, подведомственных Министерству здравоохранения Мурманской области (устройство пандусов, опорных поручней, входных дверей, санитарных узлов и др.)</t>
  </si>
  <si>
    <t>Выполнение ремонтных работ на объектах здравоохранения (в 2022 году - не менее 10 объектов, в 2023 году - не менее 10 объектов, в 2024 году - не менее 10 объектов, в 2025 году - не менее 10 объектов) с целью обеспечения доступности маломобильных групп населения в здания медицинских учреждений</t>
  </si>
  <si>
    <t>4.1.8.</t>
  </si>
  <si>
    <t>Мероприятия по антитеррористической защищенности объектов учреждений здравоохранения</t>
  </si>
  <si>
    <t>Выполнение мероприятий по антитеррористической защищенности объектов учреждений здравоохранения, 20 объектов</t>
  </si>
  <si>
    <t>4.1.9.</t>
  </si>
  <si>
    <t>Приобретение автобусов, легковых, грузовых автомобилей и специальной техники</t>
  </si>
  <si>
    <t xml:space="preserve">Приобретение не менее 20 единиц автотранспорта </t>
  </si>
  <si>
    <t>4.1.10.</t>
  </si>
  <si>
    <t>Выполнение работ по подготовке отчета о предварительном планировании действий пожарно-спасательных подразделений по тушению пожаров и проведению аварийно-спасательных работ, связанных с тушением пожаров на объекте "Реконструкция зданий ГОБУЗ "Мурманский областной онкологический диспансер"</t>
  </si>
  <si>
    <t>4.1.11.</t>
  </si>
  <si>
    <t>Капитальные ремонты объектов учреждений, подведомственных Министерству здравоохранения Мурманской области</t>
  </si>
  <si>
    <t xml:space="preserve">Проведение капитальных ремонтов, разработка проектной (сметной) документации
(завершение работ на 45 объектов (в т.ч. разработка ПСД - 4 объекта)  в 2022 году)   </t>
  </si>
  <si>
    <t>ОМ 4.2.</t>
  </si>
  <si>
    <t>Основное мероприятие 2. Модернизация первичного звена здравоохранения Мурманской области</t>
  </si>
  <si>
    <t xml:space="preserve">4.2 Количество объектов, отремонтированных в рамках программы
4.3 Количество строящихся (реконструируемых) в рамках программы объектов
4.4 Количество объектов капитального строительства, введенных в эксплуатацию в рамках программы
</t>
  </si>
  <si>
    <t>Министерство здравоохранения Мурманской области, 
медицинские учреждения, Министерство строительства Мурманской области, 
ГОКУ "Управление капитального строительства Мурманской области"</t>
  </si>
  <si>
    <t>4.2.1.</t>
  </si>
  <si>
    <t xml:space="preserve">Строительство поликлиники ГОБУЗ "Кандалакшская ЦРБ"(Мурманская область, 
г. Кандалакша, ул. Данилова), том числе разработка ПСД
</t>
  </si>
  <si>
    <t>2021-2022 - разработка проектной документации</t>
  </si>
  <si>
    <t>Министерство строительства Мурманской области,
ГОКУ "Управление капитального строительства Мурманской области"</t>
  </si>
  <si>
    <t>4.2.2.</t>
  </si>
  <si>
    <t xml:space="preserve">Строительство амбулатория (с подстанцией скорой помощи и дневным стационаром)ГОБУЗ "Кандалакшская ЦРБ"(Мурманская область, 
Кандалакшский район, 
п. Зеленоборский, 
ул. Магистральная, 30), том числе разработка ПСД
</t>
  </si>
  <si>
    <t xml:space="preserve"> Министерство строительства Мурманской области, 
ГОКУ "Управление капитального строительства Мурманской области"</t>
  </si>
  <si>
    <t>4.2.3.</t>
  </si>
  <si>
    <t>Поставка и монтаж модульных объектов учреждений здравоохранения</t>
  </si>
  <si>
    <t xml:space="preserve">2021 - Поставка и монтаж ФАПа - 1 ед. 
                                 </t>
  </si>
  <si>
    <t>Министерство здравоохранения Мурманской области, 
медицинские учреждения</t>
  </si>
  <si>
    <t>4.2.4.</t>
  </si>
  <si>
    <t xml:space="preserve">Реконструкция здания детской поликлиники ГОБУЗ «Кольская ЦРБ» (Мурманская область, г. Кола, пер. Островский,12), в том числе разработка ПСД
</t>
  </si>
  <si>
    <t xml:space="preserve">2021-2022 - Реконструкция здания детской поликлиники.
</t>
  </si>
  <si>
    <t>4.2.5.</t>
  </si>
  <si>
    <t>Капитальные ремонты медицинских учреждений, оказывающих первичную медико-санитарную помощь, (стоимостью более 25 млн. рублей)</t>
  </si>
  <si>
    <t xml:space="preserve">2021 - ремонт 4 объектов, 2022 год - завершение ремонтов, начатых в 2021 году по 1 объекту
</t>
  </si>
  <si>
    <t>4.2.6.</t>
  </si>
  <si>
    <t>Капитальные ремонты медицинских учреждений, оказывающих первичную медико-санитарную помощь (стоимостью менее 25 млн. рублей)</t>
  </si>
  <si>
    <t xml:space="preserve">2021 - ремонт 8 объектов
</t>
  </si>
  <si>
    <t>4.2.7.</t>
  </si>
  <si>
    <t>Оснащение автомобильным транспортом медицинских организаций, оказывающих первичную медико-санитарную помощь</t>
  </si>
  <si>
    <t xml:space="preserve"> Оснащение автомобильным транспортом медицинских организаций, оказывающих первичную медико-санитарную помощь,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 (12 ед. - 2021 год)</t>
  </si>
  <si>
    <t>4.2.8.</t>
  </si>
  <si>
    <t>Приобретение оборудования для медицинских организаций, оказывающих первичную медико-санитарную помощь</t>
  </si>
  <si>
    <t>Приобретение медицинского оборудования и мебели для медицинских организаций, оказывающих первичную медико-санитарную помощь (11 ЛПУ - 2021 год)</t>
  </si>
  <si>
    <t>Исполнение мероприятия в полном объеме запланировано на август 2022 г.</t>
  </si>
  <si>
    <t>ОМ 4.3.</t>
  </si>
  <si>
    <t>Основное мероприятие 3. Строительство и реконструкция зданий учреждений здравоохранения</t>
  </si>
  <si>
    <t>4.3.1.</t>
  </si>
  <si>
    <t>Реконструкция комплекса зданий ГОБУЗ "МОКБ им. П.А. Баяндина"</t>
  </si>
  <si>
    <t>2022 - разработка проектной документации</t>
  </si>
  <si>
    <t>4.3.2.</t>
  </si>
  <si>
    <t>Станция скорой медицинской помощи в г. Мурманск</t>
  </si>
  <si>
    <t xml:space="preserve"> 4.3.3.</t>
  </si>
  <si>
    <t>Реконструкция комплекса зданий ГОБУЗ "Мурманский областной онкологический диспансер"</t>
  </si>
  <si>
    <t xml:space="preserve">2021 -  реконструкция объекта </t>
  </si>
  <si>
    <t>П 4.1.</t>
  </si>
  <si>
    <t xml:space="preserve">4.3 Количество строящихся (реконструируемых) в рамках программы объектов
4.4 Количество объектов капитального строительства, введенных в эксплуатацию в рамках программы
</t>
  </si>
  <si>
    <t>П 4.1.1.</t>
  </si>
  <si>
    <t xml:space="preserve">2022 - 2024 -  реконструкция объекта </t>
  </si>
  <si>
    <t>П 4.2.</t>
  </si>
  <si>
    <t>Региональный проект  "Модернизация первичного звена здравоохранения Российской Федерации"</t>
  </si>
  <si>
    <t>4.2 Количество объектов, отремонтированных в рамках программы
4.3 Количество строящихся (реконструируемых) в рамках программы объектов
4.4 Количество объектов капитального строительства, введенных в эксплуатацию в рамках программы
4.5 Количество приобретенного в рамках программы автотранспорта для подведомственных учреждений</t>
  </si>
  <si>
    <t>П 4.2.1.</t>
  </si>
  <si>
    <t>2022-2025 - строительство</t>
  </si>
  <si>
    <t>П 4.2.2.</t>
  </si>
  <si>
    <t>2022-2023- строительство</t>
  </si>
  <si>
    <t>П 4.2.3.</t>
  </si>
  <si>
    <t xml:space="preserve">2022 - Амбулатории 2 ед;
2023 - Поставка и монтаж  ФАПа - 3 ед. , амбулатории - 2 ед.;
2024 - Поставка и монтаж амбулатории - 1 ед.;                                                                                     
2025 - Поставка и монтаж ФАПа - 4 ед..                                                                                          </t>
  </si>
  <si>
    <t>П 4.2.4.</t>
  </si>
  <si>
    <t>Капитальные ремонты медицинских учреждений, оказывающих первичную медико-санитарную помощь, (стоимостью более 10 млн. рублей)</t>
  </si>
  <si>
    <t>2022 - ремонт 8 объектов 
2023 - ремонт 3 объектов 
2024 - ремонт 3 объектов
2025 - ремонт 3 объекта.</t>
  </si>
  <si>
    <t>П 4.2.5.</t>
  </si>
  <si>
    <t xml:space="preserve">2022 - ремонт 2 объекта
2025 - ремонт 1 объекта
</t>
  </si>
  <si>
    <t>П 4.2.6.</t>
  </si>
  <si>
    <t xml:space="preserve"> Оснащение автомобильным транспортом медицинских организаций, оказывающих первичную медико-санитарную помощь,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 (3 ед. - 2023 год,  35 ед. - 2024 год, 93 ед. - 2025 год)</t>
  </si>
  <si>
    <t>П 4.2.7.</t>
  </si>
  <si>
    <t>Приобретение медицинского оборудования и мебели для медицинских организаций, оказывающих первичную медико-санитарную помощь (9 ЛПУ - 2022 год, 13 ЛПУ - 2023 год, 11 ЛПУ - 2024 год, 10 - 2025 год)</t>
  </si>
  <si>
    <t>Количество приобретенного медицинского оборудования - 5 ед., целевой показатель - 5 ед.</t>
  </si>
  <si>
    <t>5.</t>
  </si>
  <si>
    <t>Подпрограмма 5. "Кадровое обеспечение системы здравоохранения"</t>
  </si>
  <si>
    <t>Министерство здравоохранения Мурманской области, государственные областные учреждения здравоохранения Мурманской области,
профессиональные некоммерческие организации</t>
  </si>
  <si>
    <t>ОМ 5.1.</t>
  </si>
  <si>
    <t>Основное мероприятие 1. Обеспечение медицинских организаций системы здравоохранения Мурманской области квалифицированными кадрами</t>
  </si>
  <si>
    <t xml:space="preserve">5.1 Укомплектованность врачебных должностей в подразделениях, оказывающих медицинскую помощь в амбулаторных условиях  в Мурманской области
5.2 Укомплектованность должностей среднего медицинского персонала в подразделениях, оказывающих медицинскую помощь в амбулаторных условиях в Мурманской области 
5.4 Численность врачей, работающих в государственных медицинских организациях  Мурманской области;
 5.5 Численность средних медицинских работников, работающих в государственных медицинских организациях  Мурманской области                                                                                        0.8 Обеспеченность населения врачами в государственных (подчинения субъекта РФ) учреждениях здравоохранения
</t>
  </si>
  <si>
    <t>5.1.1.</t>
  </si>
  <si>
    <t>Предоставление ежемесячной стипендии студентам, обучающимся по договору о целевом обучении с Минздравом Мурманской области по программам специалитета и бакалавриата, в том числе проходящих подготовку для монопрофильных муниципальных образований</t>
  </si>
  <si>
    <t>Выплата  студентам, обучающимся по договору о целевом обучении от Мурманской области  на хорошо и отлично, ежемесячной стипендии в размере 3000 рублей   в соответствии с Законом Мурманской области от 19.12.2014 № 1820-01-ЗМО и с целью стимулирования студентов,  к трудоустройству в Мурманской области по окончании обучения и укомплектованность штатных должностей медицинских организаций врачами</t>
  </si>
  <si>
    <t xml:space="preserve">Министерство здравоохранения Мурманской области, государственные областные учреждения здравоохранения Мурманской области
</t>
  </si>
  <si>
    <t>Исполнено 38%, ниже на 12% в связи с успеваемостью студентов,сдача промежуточной сессии на оценку ниже "хорошо"</t>
  </si>
  <si>
    <t>5.1.2.</t>
  </si>
  <si>
    <t>Обучение сотрудников, работающих в центрах здоровья, кабинетах медицинской профилактики, Школах здоровья на циклах повышения квалификации по вопросам профилактики заболеваний</t>
  </si>
  <si>
    <t xml:space="preserve">Организация обучающих мероприятий для медицинских работников по вопросам профилактики неинфекционных заболеваний, формированию здорового образа жизни и санитарно-гигиеническому просвещению населения с целью укомплектования медицинских организаций высококвалифицированными кадрами. </t>
  </si>
  <si>
    <t xml:space="preserve">Министерство здравоохранения Мурманской области, ГОАУЗ "МОЦСВМП"
</t>
  </si>
  <si>
    <t>5.1.3.</t>
  </si>
  <si>
    <t>Предоставление ежемесячной стипендии ординаторам, обучающимся по договору о целевом обучении с Минздравом Мурманской области по программам ординатуры</t>
  </si>
  <si>
    <t>Выплата ежемесячной стипендии ординаторам в размере 5000 рублей с целью их стимулирования к трудоустройству в Мурманской области по окончании обучения</t>
  </si>
  <si>
    <t>5.1.4.</t>
  </si>
  <si>
    <t>Предоставление единовременных денежных выплат врачам-специалистам при трудоустройстве  на квотируемые (дефицитные) рабочие места и ежеквартальных компенсационных выплат в течение первого года работы</t>
  </si>
  <si>
    <t>Осуществление единовременных компенсационных выплат врачам и фельдшерам и ежеквартальных денежных компенсаций на оплату жилого помещения  и коммунальных услуг медицинским работникам, принятым на квотированные рабочие места в размере 15 т.р., утверждаемых ежегодно постановлением Правительства Мурманской области с целью укомплектования подведомственных учреждений здравоохранения  медицинскими кадрами и преодоления кадрового дефицита в отрасли</t>
  </si>
  <si>
    <t>Министерство здравоохранения Мурманской области, государственные областные учреждения здравоохранения Мурманской области</t>
  </si>
  <si>
    <t>5.1.5.</t>
  </si>
  <si>
    <t>Предоставление единовременных компенсационных выплат медицинским работникам (врачам, фельдшерам) в  рамках реализации программ "Земский врач"/"Земский фельдшер"</t>
  </si>
  <si>
    <t>Материальная мотивация медицинских работников прибывших  для работы в сельской местности, п.г.т. и  городах Мурманской области, численность населения, которых составляет менее 50 тысяч человек.</t>
  </si>
  <si>
    <t>5.1.6.</t>
  </si>
  <si>
    <t>Проведение  региональных конкурсов профессионального мастерства среди медицинских работников   Мурманской области, выплата премии победителям</t>
  </si>
  <si>
    <t>Осуществление выплат медицинским работникам - победителям региональных конкурсов по  номинациям утверждаемым ежегодно.(4 чел.) с целью повышения престижа профессии медицинских работников, ее значимости, поддержки талантливых  медицинских кадров. За  конкурс "Лучший врач года" выплата составляет 120 тыс. руб., за конкурс  "Лучшая медицинская сестра" за первое, второе, третье место - 60 тыс. руб., 40 тыс. руб., 20 тыс. руб. соответственно. Оплата расходов , связанных с изготовлением и закупкой наградной продукции, сувениров</t>
  </si>
  <si>
    <t>5.1.7.</t>
  </si>
  <si>
    <t>Осуществление материального обеспечения и социальной поддержки медицинских, социальных работников</t>
  </si>
  <si>
    <t>Материальное стимулирование работников медицинских организаций, с целью повышения качества оказываемых медицинских и социальных услуг</t>
  </si>
  <si>
    <t>5.1.8.</t>
  </si>
  <si>
    <t>Осуществление мер социальной поддержки педагогических работников государственных областных учреждений Мурманской области в соответствии с Законом Мурманской области от 20.12.2013 № 1705-01-ЗМО "О социальной поддержке педагогических работников государственных областных организаций Мурманской области, осуществляющих образовательную деятельность, руководителей и специалистов государственных областных образовательных организаций Мурманской области и государственных областных организаций Мурманской области для детей-сирот и детей, оставшихся без попечения родителей"</t>
  </si>
  <si>
    <t>Материальное стимулирование работников медицинских и образовательных организаций, с целью повышения качества образовательных услуг</t>
  </si>
  <si>
    <t>Государственные областные учреждения здравоохранения Мурманской области, ГООАУ ДПО МОЦПК СЗ</t>
  </si>
  <si>
    <t>5.1.9.</t>
  </si>
  <si>
    <t>Ежемесячная выплата  25 %  к должностному окладу и компенсация расходов на оплату жилищно-коммунальных услуг отдельным категориям медицинских работников работающих и проживающих в сельской местности или поселках городского типа на территории Мурманской области</t>
  </si>
  <si>
    <t>Повышение уровня оплаты труда, стимулирование медицинских работников к продолжению работы в сельской местности. Оплата расходов за жилое помещение, электроснабжение и отопление медицинским работникам государственных учреждений здравоохранения в сельских населенных пунктах или поселках городского типа, совместно проживающим с ними членам семей с целью улучшения социально-бытовых условий медицинских работников и их стимулирования  к продолжению работы в сельской местности</t>
  </si>
  <si>
    <t>5.1.10.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</si>
  <si>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 а также компенсация расходов на оплату стоимости проезда и провоза багажа при переезде лиц (работников), членов их семей, при заключении (расторжении) трудовых договоров (контрактов) с организациями, финансируемыми из областного бюджета</t>
  </si>
  <si>
    <t>Предоставление льготы работникам подведомственных учреждений в соответствии с законодательством. Материальная мотивация для продолжения работы  в РКС (Мурманской области)</t>
  </si>
  <si>
    <t>5.1.11.</t>
  </si>
  <si>
    <t>Расходы на содержание общежития ГОБУЗ "Мурманская областная детская клиническая больница"</t>
  </si>
  <si>
    <t xml:space="preserve">Предоставление служебного жилья медицинским работникам    </t>
  </si>
  <si>
    <t xml:space="preserve">Государственное областное бюджетное учреждение здравоохранения "Мурманская областная детская клиническая больница"
</t>
  </si>
  <si>
    <t>5.1.12.</t>
  </si>
  <si>
    <t>Предоставление компенсационных выплат в размере стоимости платных образовательных услуг по программе ординатуры</t>
  </si>
  <si>
    <t>Оплата обучения по программам ординатуры в размере стоимости платных образовательных услуг по программе ординатуры  лицам, получившим высшее медицинское образование, заключившим договоры о получении платных образовательных услуг, ежегодно 30 человек, с целью устранения дефицита медицинских кадров и перспективного решения кадровых вопросов здравоохранения Мурманской области, обновление медицинских кадров с учетом сроков обучения в ординатуре в течение 2 лет</t>
  </si>
  <si>
    <t>5.1.13.</t>
  </si>
  <si>
    <t>Выплата стипендии, обучающимся в ординатуре, получившим высшее медицинское образование, заключившим договоры  о получении платных образовательных услуг  по программе ординатуры и о мерах социальной поддержки и трудоустройстве</t>
  </si>
  <si>
    <t>Выплата ежемесячной стипендии ординаторам, заключившим договоры о получении платных образовательных услуг по программе ординатуры и о мерах социальной поддержки и трудоустройстве в размере 5000 рублей в соответствии с Законом Мурманской области от 19.12.2014 № 1820-01-ЗМО,  с целью стимулирования ординаторов, к трудоустройству в Мурманской области по окончании обучения и  преодоления кадрового дефицита в медицинских организациях Мурманской области</t>
  </si>
  <si>
    <t>5.1.14.</t>
  </si>
  <si>
    <t>Предоставление единовременной выплаты части платежа приобретаемого (строящегося) жилья медицинским работникам в медицинских организациях государственной системы здравоохранения Мурманской области</t>
  </si>
  <si>
    <t xml:space="preserve">Материальная мотивация для закрепления медицинских работников  на территории  Мурманской области и  продолжения работы в государственных областных учреждениях здравоохранения с целью укомплектования подведомственных учреждений здравоохранения  медицинскими кадрами и преодоления кадрового дефицита в отрасли </t>
  </si>
  <si>
    <t>ОМ 5.2.</t>
  </si>
  <si>
    <t>Основное мероприятие 2.  Создание аккредитационно-симуляционного центра на базе ГООАУ ДПО "Мурманский областной центр повышения квалификации специалистов здравоохранения"</t>
  </si>
  <si>
    <t>5.3 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t>
  </si>
  <si>
    <t>5.2.1.</t>
  </si>
  <si>
    <t xml:space="preserve">Организация циклов повышения квалификации для медицинских работников с высшим медицинским и фармацевтическим образованием. Укомплектование медицинских организаций высококвалифицированными кадрами. Организация обучающих мероприятий для медицинских работников по вопросам ранней диагностики, лечения и профилактики ВИЧ-инфекции с целью укомплектования медицинских организаций высококвалифицированными кадрами. Организация циклов повышения квалификации для медицинских работников со средним медицинским образованием с целью обеспечения медицинских организаций высококвалифицированными медицинскими кадрами в соответствии с потребностями, развитие системы подготовки и профессиональной подготовки специалистов со средним медицинским образованием. </t>
  </si>
  <si>
    <t>ГОАУЗ "Мурманский областной Центр специализированных видов медицинской помощи", ГООАУ ДПО МОЦПК СЗ</t>
  </si>
  <si>
    <t>П 5.1.</t>
  </si>
  <si>
    <t xml:space="preserve">Региональный проект "Обеспечение медицинских организаций системы здравоохранения 
 квалифицированными кадрами"
</t>
  </si>
  <si>
    <t xml:space="preserve">5.1.Укомплектованность штатных должностей медицинских организаций врачами, оказывающими первичную медико-санитарную помощь (физическими лицами при коэффициенте совместительства 1,2);
5.2. Укомплектованность штатных должностей медицинских организаций средним медицинским персоналом, оказывающим первичную медико-санитарную помощь(физическими лицами при коэффициенте совместительства 1,2)
5.3. 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
0.8 Обеспеченность населения врачами в государственных (подчинения субъекта РФ) учреждениях здравоохранения
</t>
  </si>
  <si>
    <t xml:space="preserve">Министерство здравоохранения Мурманской области, государственные областные учреждения здравоохранения Мурманской области, профессиональные некоммерческие организации
</t>
  </si>
  <si>
    <t>П 5.1.1.</t>
  </si>
  <si>
    <t>Предоставление  ежемесячной стипендии студентам, обучающимся по договору о целевом обучении по программам специалитета</t>
  </si>
  <si>
    <t>П 5.1.2.</t>
  </si>
  <si>
    <t xml:space="preserve">Организация циклов повышения квалификации для медицинских работников с высшим медицинским и фармацевтическим образованием. Укомплектование медицинских организаций высококвалифицированными кадрами. Организация циклов повышения квалификации для медицинских работников со средним медицинским образованием с целью обеспечения медицинских организаций высококвалифицированными медицинскими кадрами в соответствии с потребностями, развитие системы подготовки и профессиональной подготовки специалистов со средним медицинским образованием. </t>
  </si>
  <si>
    <t>ГООАУ ДПО МОЦПК СЗ</t>
  </si>
  <si>
    <t>П 5.1.3.</t>
  </si>
  <si>
    <t>П 5.1.4.</t>
  </si>
  <si>
    <t>Предоставление единовременных компенсационных выплат медицинским работникам при трудоустройстве на квотируемые (дефицитные) рабочие места и ежеквартальных денежных выплат в течение первого года работы</t>
  </si>
  <si>
    <t>П 5.1.5.</t>
  </si>
  <si>
    <t xml:space="preserve">Министерство здравоохранения Мурманской области, государственные областные учреждения здравоохранения Мурманской области, ГООАУ ДПО МОЦПК СЗ
</t>
  </si>
  <si>
    <t>П 5.1.6.</t>
  </si>
  <si>
    <t>Предоставление поэтапных денежных выплат врачам-специалистам, трудоустроившимся в медицинские организации, подведомственные Министерству здравоохранения Мурманской области</t>
  </si>
  <si>
    <t>Материальная мотивация медицинских работников  для работы в  городах Мурманской области, численность населения, которых составляет более 50 тысяч, с целью укомплектования подведомственных учреждений здравоохранения  медицинскими кадрами и преодоления кадрового дефицита в отрасли</t>
  </si>
  <si>
    <t>П 5.1.7.</t>
  </si>
  <si>
    <t>П 5.1.8.</t>
  </si>
  <si>
    <t>Приобретение оборудования, мебели для аккредитации медицинских работников</t>
  </si>
  <si>
    <t xml:space="preserve">Приобретение мебели для обеспечения возможности получения медицинскими работниками дополнительного профессионального образования </t>
  </si>
  <si>
    <t>Министерство здравоохранения Мурманской области, 
ГООАУ ДПО МОЦПК СЗ</t>
  </si>
  <si>
    <t>6.</t>
  </si>
  <si>
    <t>Подпрограмма 6. "Развитие информатизации в здравоохранении"</t>
  </si>
  <si>
    <t>Министерство здравоохранения Мурманской области,  ГОБУЗ "Мурманская областная клиническая больница имени П.А.Баяндина", медицинские организации,  ГООАУ ДПО МОЦПКСЗ, ТФОМС  Мурманской области, ФКУ «ГБ МСЭ по Мурманской области» Минтруда России, ГУ-МРО ФСС РФ</t>
  </si>
  <si>
    <t>ОМ 6.1.</t>
  </si>
  <si>
    <t xml:space="preserve">Основное мероприятие 1. Обеспечение поддержки принятия управленческих решений при управлении сферой здравоохранения с применением современных информационных систем
</t>
  </si>
  <si>
    <t xml:space="preserve">6.2 Доля территориально выделенных структурных подразделений государственных областных медицинских организаций (включая ФАП и ФП), оказывающих медицинскую помощь, подключенных по защищенным каналам передачи данных к региональному сегменту ЕГИСЗ 
</t>
  </si>
  <si>
    <t>Министерство здравоохранения Мурманской области,  ГОБУЗ "Мурманская областная клиническая больница имени П.А.Баяндина", медицинские организации,  ГООАУ ДПО МОЦПКСЗ</t>
  </si>
  <si>
    <t>6.1.1.</t>
  </si>
  <si>
    <t>Развитие информационно-технологической инфраструктуры  Министерства здравоохранения</t>
  </si>
  <si>
    <t>Обеспечение текущей деятельности Министерства здравоохранения Мурманской области (мероприятия по защите информации, ремонт техники, замена расходника (картриджи)</t>
  </si>
  <si>
    <t>6.1.2.</t>
  </si>
  <si>
    <t>Оценка деятельности медицинских организаций области, информационная поддержка принятия решений, направленных на улучшение деятельности медицинских организаций;
Осуществление технической поддержки организаций по внедрению и сопровождению информационных ресурсов.
Организация сбора, обработки и анализа медицинских статистических данных о сети, кадрах, деятельности медицинских организаций и состоянии здоровья населения и управление системой медицинского статистического учёта и отчётности в медицинских организациях Мурманской области;
Оценка состояния здоровья населения Мурманской области</t>
  </si>
  <si>
    <t xml:space="preserve"> ГОБУЗ "Мурманская областная клиническая больница имени П.А.Баяндина"</t>
  </si>
  <si>
    <t>6.1.3.</t>
  </si>
  <si>
    <t>Внедрение, модернизация и эксплуатация информационных систем управления деятельностью медицинских учреждений</t>
  </si>
  <si>
    <t>Сопровождение и развитие информационных систем здравоохранения</t>
  </si>
  <si>
    <t>Министерство здравоохранения Мурманской области,  ГОБУЗ "Мурманская областная клиническая больница имени П.А.Баяндина", медицинские организации</t>
  </si>
  <si>
    <t>6.1.4.</t>
  </si>
  <si>
    <t>Обеспечение доступности информации о деятельности медицинских учреждений в сети Интернет</t>
  </si>
  <si>
    <t>Сопровождение и развитие портала здравоохранения Мурманской области</t>
  </si>
  <si>
    <t>6.1.5.</t>
  </si>
  <si>
    <t>Создание и развитие информационных систем и ресурсов Министерства здравоохранения Мурманской области</t>
  </si>
  <si>
    <t>Обеспечение функционирования информационно-аналитической системы здравоохранения Мурманской области, обеспечение предоставления государственных услуг в электронном виде</t>
  </si>
  <si>
    <t>6.1.6.</t>
  </si>
  <si>
    <t>Развитие информационно-технологической инфраструктуры учреждений системы здравоохранения</t>
  </si>
  <si>
    <t>Оснащение учреждений здравоохранения серверным оборудованием, компьютерным оборудованием для организации АРМ медицинского персонала, модернизация локально-вычислительных сетей для обеспечения функционирования АРМ медицинского персонала, обеспечение медицинских работников сертификатами усиленной квалифицированной электронной подписи (УКЭП) для ведения юридически значимого электронного документооборота.</t>
  </si>
  <si>
    <t>6.1.7.</t>
  </si>
  <si>
    <t>Обеспечение постоянного защищенного подключения медицинских организаций к высокоскоростным защищенным каналам передачи данных, технической поддержки функционирования ЗСПД</t>
  </si>
  <si>
    <t>Обеспечение функционирования региональной защищенной сети передачи данных с учетом подключения 
к ней  структурных подразделений государственных  медицинских организаций.</t>
  </si>
  <si>
    <t>Министерство здравоохранения Мурманской области, ГОБУЗ "Мурманская областная клиническая больница имени П.А.Баяндина", медицинские организации Мурманской области, ГООАУ ДПО ЦПКСЗ</t>
  </si>
  <si>
    <t>6.1.8.</t>
  </si>
  <si>
    <t>Обеспечение технической поддержки и функционирования государственной информационной системы в сфере здравоохранения Мурманской области</t>
  </si>
  <si>
    <t>Обеспечение постоянного функционирования централизованных подсистем регионального сегмента ЕГИСЗ Мурманской области</t>
  </si>
  <si>
    <t>6.1.9.</t>
  </si>
  <si>
    <t>Развитие информационно-технологической инфраструктуры и информационных систем Министерства здравоохранения Мурманской области</t>
  </si>
  <si>
    <t>Обеспечение текущей деятельности Министерства здравоохранения Мурманской области (мероприятия по защите информации, ремонт техники, замена расходника (картриджи), обеспечение функционирования информационно-аналитической системы здравоохранения Мурманской области, обеспечение предоставления государственных услуг в электронном виде)</t>
  </si>
  <si>
    <t>П 6.1.</t>
  </si>
  <si>
    <t>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t>
  </si>
  <si>
    <t xml:space="preserve">6.1 Количество автоматизированных рабочих мест медицинских работников, подключенных к медицинским информационным системам в государственных областных медицинских организациях Мурманской области; 
6.3 Доля территориально выделенных структурных подразделений государственных областных медицинских организаций (включая ФАП и ФП),  оказывающих медицинскую помощь, осуществляющих передачу медицинской информации в региональную интегрированную электронную медицинскую карту;  
6.4 Доля территориально выделенных структурных подразделений государственных областных медицинских организаций (включая ФАП и ФП),  оказывающих медицинскую помощь, передающих юридически значимые электронные медицинские документы в подсистему ЕГИСЗ «Реестр электронных медицинских документов»
</t>
  </si>
  <si>
    <t>Министерство здравоохранения Мурманской области, ГОБУЗ "Мурманская областная клиническая больница имени П.А.Баяндина", медицинские организации, ТФОМС  Мурманской области, ФКУ «ГБ МСЭ по Мурманской области» Минтруда России, ГУ-МРО ФСС РФ</t>
  </si>
  <si>
    <t>П 6.1.1.</t>
  </si>
  <si>
    <t>Обеспечение технической поддержки функционирования ЗСПД</t>
  </si>
  <si>
    <t>Обеспечение функционирования ядра защищенной сети здравоохранения, техническая поддержка и обновления криптографического оборудования медицинских организаций для обеспечения их работы в защищенной сети передачи данных.</t>
  </si>
  <si>
    <t>Министерство здравоохранения Мурманской области, ГОБУЗ "Мурманская областная клиническая больница имени П.А.Баяндина"</t>
  </si>
  <si>
    <t>П 6.1.2.</t>
  </si>
  <si>
    <t>Обеспечение автоматизированными рабочими местами медицинских работников в части оснащения компьютерным, серверным оборудованием, криптографическим оборудованием для обеспечения защищенной сети передачи данных, усиленными квалифицированными электронными подписями, организации и модернизации локально-вычислительных сетей</t>
  </si>
  <si>
    <t xml:space="preserve">Министерство здравоохранения Мурманской области, ГОБУЗ "Мурманская областная клиническая больница имени П.А.Баяндина", медицинские организации </t>
  </si>
  <si>
    <t>П 6.1.3.</t>
  </si>
  <si>
    <t>Модернизация медицинских информационных систем государственных и муниципальных медицинских организаций для обеспечения исполнения мероприятий и показателей  паспорта федерального проекта, обеспечивающая в том числе ведение расписания приема врачей, электронных медицинских карт, автоматическую выгрузку счетов (реестров счетов) в ТФОМС, создание и хранение электронных медицинских документов, включая СЭМД, а также информационное взаимодействие с подсистемами ЕГИСЗ в целях оказания медицинской помощи и электронных услуг (сервисов) для граждан,   и с другими отраслевыми информационными системами (в том числе ФСС, ФБ МСЭ)</t>
  </si>
  <si>
    <t xml:space="preserve"> Модернизация и развитие медицинских информационных систем, эксплуатирующихся в государственных медицинских организациях Мурманской области в соответствие с  требованиями, утвержденными Минздравом России.</t>
  </si>
  <si>
    <t>П 6.1.4.</t>
  </si>
  <si>
    <t>Обеспечение предоставления доступа в сеть интернет для обеспечения работы с государственной информационной системы в сфере здравоохранения субъекта Российской федерации (основной и резервный каналы)</t>
  </si>
  <si>
    <t>П 6.1.5.</t>
  </si>
  <si>
    <t>Модернизация (создание и внедрение) государственных информационных систем в сфере здравоохранения субъектов Российской Федерации, соответствующих требованиям Минздрава России, подключение к системе всех государственных и муниципальных медицинских организаций и их структурных подразделений (включая ФАП и ФП, подключенные к сети Интернет) субъекта Российской Федерации</t>
  </si>
  <si>
    <t>Создание новых и развитие существующих государственных (региональных) информационных систем в сфере здравоохранения, подключение к ним медицинских информационных систем государственных медицинских организаций Мурманской области.</t>
  </si>
  <si>
    <t>Министерство здравоохранения Мурманской области, ГОБУЗ "Мурманская областная клиническая больница имени П.А.Баяндина", медицинские организации</t>
  </si>
  <si>
    <t>П 6.1.6.</t>
  </si>
  <si>
    <t>Развитие (создание и внедрение)  централизованной системы (подсистемы) «Управление льготным лекарственным обеспечением» субъекта Российской Федерации</t>
  </si>
  <si>
    <t>Развитие централизованной системы выписки и отпуска лекарственных препаратов отдельным категориям граждан с учетом требований Минздрава РФ</t>
  </si>
  <si>
    <t xml:space="preserve">Министерство здравоохранения Мурманской области, медицинские организации </t>
  </si>
  <si>
    <t>П 6.1.7.</t>
  </si>
  <si>
    <t>Развитие (создание и внедрение)  централизованной системы (подсистемы) «Телемедицинские консультации» субъекта Российской Федерации</t>
  </si>
  <si>
    <t>Развитие телемедицинской системы Мурманской области в части проведения телемедицинских консультаций</t>
  </si>
  <si>
    <t>П 6.1.8.</t>
  </si>
  <si>
    <t>Развитие (создание и внедрение)  централизованной системы (подсистемы)  «Организация оказания профилактической медицинской помощи (диспансеризация, диспансерное наблюдение, профилактические осмотры)» субъекта Российской Федерации</t>
  </si>
  <si>
    <t>Создание и развитие централизованной системы организации оказания профилактической медицинской помощи на территории Мурманской области с учетом требований Минздрава РФ</t>
  </si>
  <si>
    <t>П 6.1.9.</t>
  </si>
  <si>
    <t>Развитие (создание и внедрение)  централизованной системы (подсистемы) «Организация оказания медицинской помощи больным онкологическими заболеваниями» субъекта Российской Федерации</t>
  </si>
  <si>
    <t>Создание и развитие централизованной системы организации медицинской помощи больным онкологическими заболеваниями с учетом требований Минздрава РФ</t>
  </si>
  <si>
    <t>П 6.1.10.</t>
  </si>
  <si>
    <t>Развитие (создание и внедрение)  централизованной системы (подсистемы)  «Организация оказания медицинской помощи больным сердечно-сосудистыми заболеваниями» субъекта Российской Федерации</t>
  </si>
  <si>
    <t>Создание и развитие централизованной системы организации медицинской помощи больным сердечно-сосудистыми заболеваниями с учетом требований Минздрава РФ</t>
  </si>
  <si>
    <t>П 6.1.11.</t>
  </si>
  <si>
    <t>Развитие (создание и внедрение)  централизованной системы (подсистемы) «Организация оказания медицинской помощи по профилям  «Акушерство и гинекология» и «Неонатология» (Мониторинг беременных)» субъекта Российской Федерации</t>
  </si>
  <si>
    <t>Создание и развитие централизованной информационной системы организации медицинской помощи по профилям «Акушерство и гинекология» и «Неонатология» с учетом требований Минздрава РФ</t>
  </si>
  <si>
    <t>П 6.1.12.</t>
  </si>
  <si>
    <t>Обеспечение технической поддержки и функционирования государственной информационной системы в сфере здравоохранения Мурманской области, медицинских информационных систем государственных медицинских организаций (с учетом стоимости технической поддержки вновь разрабатываемых централизованных подсистем в рамках данного проекта)</t>
  </si>
  <si>
    <t>7.</t>
  </si>
  <si>
    <t>Подпрограмма 7. "Управление системой здравоохранения, включая обеспечение реализации государственной программы"</t>
  </si>
  <si>
    <t xml:space="preserve">Министерство здравоохранения Мурманской области, медицинские организации, ТФОМС  Мурманской области, Министерство информационной политики Мурманской области
АНО «Мурманконгресс» </t>
  </si>
  <si>
    <t>ОМ 7.1.</t>
  </si>
  <si>
    <t>Основное мероприятие 1. Обеспечение реализации государственных функций в сфере охраны здоровья</t>
  </si>
  <si>
    <t xml:space="preserve">Министерство здравоохранения Мурманской области,  медицинские организации, ТФОМС  Мурманской области, Министерство информационной политики Мурманской области
АНО «Мурманконгресс» </t>
  </si>
  <si>
    <t>7.1.1.</t>
  </si>
  <si>
    <t>Обеспечение реализации государственных функций в сфере охраны здоровья</t>
  </si>
  <si>
    <t xml:space="preserve">Эффективная реализация государственных функций в сфере охраны здоровья , согласно Постановлению Правительства Мурманской области от 11.02.2011 № 54-ПП "Об утверждении Положения о Министерстве здравоохранения Мурманской области" </t>
  </si>
  <si>
    <t>7.1.2.</t>
  </si>
  <si>
    <t xml:space="preserve">Эффективная реализация государственных функций в сфере охраны здоровья, согласно Постановлению Правительства Мурманской области от 11.02.2011 № 54-ПП "Об утверждении положения о министерстве здравоохранения Мурманской области", в части защиты прав граждан на получение качественной медицинской помощи </t>
  </si>
  <si>
    <t>ГОБУЗ "Мурманская областная клиническая больница имени П.А.Баяндина", медицинские организации</t>
  </si>
  <si>
    <t>7.1.3.</t>
  </si>
  <si>
    <t xml:space="preserve">Финансовое обеспечение расходов учреждений, осуществляющих деятельность в системе ОМС, на выплату районного коэффициента к заработной плате </t>
  </si>
  <si>
    <t>Финансовое обеспечение расходов учреждений, осуществляющих деятельность в системе ОМС, на выплату разницы районного коэффициента, установленных на территории Мурманской области по решению субъекта и федеральным законодательством</t>
  </si>
  <si>
    <t>7.1.4.</t>
  </si>
  <si>
    <t>Финансовое обеспечение расходов учреждений, осуществляющих деятельность в системе ОМС, на выплату процентной надбавки к заработной плате за стаж работы в районах Крайнего Севера</t>
  </si>
  <si>
    <t>Финансовое обеспечение расходов учреждений, осуществляющих деятельность в системе ОМС, на выплату разницы процентной надбавки к заработной плате за стаж работы в районах Крайнего Севера, установленных на территории Мурманской области по решению субъекта и федеральным законодательством</t>
  </si>
  <si>
    <t>7.1.5.</t>
  </si>
  <si>
    <t xml:space="preserve">Сохранение фиксированного уровня заработной платы и оплата расходов, связанных с сохранением среднего заработка, отдельных категорий работников первичного звена и скорой медицинской помощи на 1 ставку </t>
  </si>
  <si>
    <t>Финансовое обеспечение расходов учреждений, осуществляющих деятельность в системе ОМС, на сохранение уровня минимальной заработной платы отдельных категорий работников первичного звена и скорой медицинской помощи на 1 ставку</t>
  </si>
  <si>
    <t>7.1.6.</t>
  </si>
  <si>
    <t>Осуществление расходов, связанных с оплатой отпусков, выплатой компенсации за неиспользованные отпуска и других случаев медицинским и иным работникам, которым предоставлялись выплаты стимулирующего характера за выполнение особо важных работ, особые условия труда и дополнительную нагрузку в условиях распространения новой коронавирусной инфекции (COVID-19) по постановлениям Правительства Мурманской области от 08.04.2020 №189-ПП и 23.04.2020 № 243-ПП</t>
  </si>
  <si>
    <t>Финансовое обеспечение расходов учреждений на реализацию постановления Правительства Мурманской области от 10.12.2020 N 861-ПП в целях повышения эффективности трудовой деятельности работников</t>
  </si>
  <si>
    <t>7.1.7.</t>
  </si>
  <si>
    <t>Осуществление специальных социальных выплат отдельным категориям работников, обеспечивающим условия для оказания медицинской помощи и контактирующим с пациентами с установленным диагнозом новой коронавирусной инфекции (COVID-19) при выполнении должностных обязанностей в соответствии с постановлением Правительства Мурманской области от 01.12.2020 № 841-ПП</t>
  </si>
  <si>
    <t>Финансовое обеспечение расходов учреждений на осуществление специальных социальных выплат отдельным категориям работников, обеспечивающим условия для оказания медицинской помощи и контактирующим с пациентами с установленным диагнозом новой коронавирусной инфекции (COVID-19) при выполнении должностных обязанностей в целях повышения эффективности трудовой деятельности работников</t>
  </si>
  <si>
    <t>В кассовом расходе не учтено расходование остатка на начало года в размере 1 718,64 руб.</t>
  </si>
  <si>
    <t>7.1.8.</t>
  </si>
  <si>
    <t>Компенсация стоимости путевок на санаторно-курортное лечение медицинским и иным работникам медицинских организаций, подведомственных Министерству здравоохранения Мурманской области, после перенесенного заболевания новой коронавирусной инфекцией (COVID-19) в связи с исполнением трудовых обязанностей</t>
  </si>
  <si>
    <t>Компенсация стоимости путевок на санаторно-курортное лечение медицинским и иным работникам медицинских организаций, подведомственных Министерству здравоохранения Мурманской области, после перенесенного заболевания новой коронавирусной инфекцией (COVID-19) в связи с исполнением трудовых обязанностей, в целях повышения эффективности трудовой деятельности работников, оказывающих медицинскую помощь гражданам, у которых выявлена новая коронавирусная инфекция</t>
  </si>
  <si>
    <t>7.1.9.</t>
  </si>
  <si>
    <t>Финансовое обеспечение расходов учреждений на питание медицинских и иных работников, оказывающих медицинскую помощь, обеспечивающих оказание медицинской помощи гражданам с диагнозом новой коронавирусной инфекцией (COVID-19)</t>
  </si>
  <si>
    <t>Осуществление расходов на питание медицинских и иных работников, оказывающих медицинскую помощь, обеспечивающих оказание медицинской помощи гражданам с диагнозом новой коронавирусной инфекцией (COVID-19)</t>
  </si>
  <si>
    <t>7.1.10.</t>
  </si>
  <si>
    <t>Финансовое обеспечение отдельных статей расходов по содержанию ГОБУЗ "МЦ "Белая Роза" в период проведения процедуры лицензирования медицинской деятельности и до начала осуществления медицинской деятельности</t>
  </si>
  <si>
    <t>Осуществление расходов по содержанию ГОБУЗ "МЦ "Белая Роза" в период проведения процедуры лицензирования медицинской деятельности и до начала осуществления медицинской деятельности</t>
  </si>
  <si>
    <t>7.1.11.</t>
  </si>
  <si>
    <t>Осуществление выплат стимулирующего характера за дополнительную нагрузку медицинским работникам медицинских организаций, подведомственных Министерству здравоохранения Мурманской области, участвующим в проведении в 2021 году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а также расходов, связанных с компенсацией среднего дневного заработка в других случаях, установленными трудовым законодательством</t>
  </si>
  <si>
    <t>Финансовое обеспечение расходов учреждений на осуществление в 2021 году выплат стимулирующего характера за дополнительную нагрузку медицинским работникам медицинских организаций, подведомственных Министерству здравоохранения Мурманской области, участвующим в проведении в 2021 году вакцинации взрослого населения против новой коронавирусной инфекции,  и расходов, связанных с оплатой в 2021-2022 годах отпусков и выплатой компенсации за неиспользованные отпуска медицинским работникам, которым предоставлялись указанные стимулирующие выплаты, а также расходов, связанных с компенсацией среднего дневного заработка в других случаях, установленными трудовым законодательством, в целях повышения эффективности трудовой деятельности работников</t>
  </si>
  <si>
    <t>7.1.12.</t>
  </si>
  <si>
    <t>Уплата налогов, взносов, сборов и иных платежей в учреждениях, финансируемых за счет средств ОМС</t>
  </si>
  <si>
    <t>Уплата налогов, взносов, сборов в бюджетную систему Российской Федерации; финансовое обеспечение расходов на погашение просроченной кредиторской задолженности по налогам, сборам и страховым взносам, платежам перед поставщиками товаров, работ, услуг</t>
  </si>
  <si>
    <t>произведена оплата налогов за 1 квартал 2022 г.</t>
  </si>
  <si>
    <t>7.1.13.</t>
  </si>
  <si>
    <t>Субсидия автономной некоммерческой организации по развитию конгрессно-выставочной, ярмарочной и информационной  деятельности "Мурманконгресс" на проведение массовых мероприятий</t>
  </si>
  <si>
    <t>Финансовое обеспечение проведения массовых мероприятий в сфере здравоохранения, посвященных проведению расширенной коллегии Министерства здравоохранения Мурманской области и празднованию Дня медицинского работника</t>
  </si>
  <si>
    <t xml:space="preserve">Министерство здравоохранения Мурманской области
Министерство информационной политики Мурманской области
АНО «Мурманконгресс» 
 </t>
  </si>
  <si>
    <t>7.1.14.</t>
  </si>
  <si>
    <t>Финансовое обеспечение оплаты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COVID-19, а также с признаками или подтвержденным диагнозом внебольничной пневмонии, острой респираторной вирусной инфекции, гриппа, получающим медицинскую помощь в амбулаторных условиях (на дому)</t>
  </si>
  <si>
    <t>Осуществление расходов на оплату труда медицинских работников,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COVID-19, а также с признаками или подтвержденным диагнозом внебольничной пневмонии, острой респираторной вирусной инфекции, гриппа, получающим медицинскую помощь в амбулаторных условиях (на дому), в целях обеспечения доступности оказания медицинской помощи населению Мурманской области</t>
  </si>
  <si>
    <t>Выполнение целевого показателя за 2022г. составило 100%. Фактически обеспечены выплатами 9 чел.</t>
  </si>
  <si>
    <t>7.1.15.</t>
  </si>
  <si>
    <t>Содержание помещений в многоквартирных домах, находящихся в оперативном управлении областных учреждений здравоохранения Мурманской области и не используемых для оказания медицинской помощи населению (за исключением расходов на жилые помещения ФАПов)</t>
  </si>
  <si>
    <t>Оплата коммунальных услуг,  взносов на капитальный ремонт, налогов на жилые помещения в многоквартирных домах, находящиеся в оперативном управлении областных учреждений здравоохранения Мурманской области и не используемые для оказания медицинской помощи населению</t>
  </si>
  <si>
    <t>ОМ 7.2.</t>
  </si>
  <si>
    <t>Основное мероприятие 2. Предоставление межбюджетных трансфертов и иные платежи, производимые в целях  организации обязательного медицинского страхования на территории субъекта  Российской Федерации</t>
  </si>
  <si>
    <t>Министерство здравоохранения Мурманской области, ТФОМС Мурманской области</t>
  </si>
  <si>
    <t>7.2.1.</t>
  </si>
  <si>
    <t>Уплата страховых взносов на обязательное медицинское страхование неработающего населения Мурманской области</t>
  </si>
  <si>
    <t>Своевременное перечисление страховых взносов на обязательное медицинское страхование неработающего населения Мурманской области в соответствии с федеральным законом от 29.11.2010 № 326-ФЗ "Об обязательном медицинском страховании в Российской Федерации"</t>
  </si>
  <si>
    <t>7.2.2.</t>
  </si>
  <si>
    <t>Финансовое обеспечение видов и условий оказания медицинской помощи не установленных
базовой программой ОМС</t>
  </si>
  <si>
    <t xml:space="preserve"> Своевременное предоставление межбюджетных трансфертов на 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</si>
  <si>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7.2.3.</t>
  </si>
  <si>
    <t>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t>
  </si>
  <si>
    <t xml:space="preserve"> Своевременное предоставление межбюджетных трансфертов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t>
  </si>
  <si>
    <t>7.2.4.</t>
  </si>
  <si>
    <t>Дополнительное финансовое обеспечение оказания медицинской помощи, в том числе лицам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</si>
  <si>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 xml:space="preserve"> Своевременное предоставление межбюджетных трансфертов на дополнительное финансовое обеспечение оказания медицинской помощи, в том числе лицам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</si>
  <si>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7.2.5.</t>
  </si>
  <si>
    <t xml:space="preserve">Дополнительное финансовое обеспечение оказания первичной медико-санитарной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t>
  </si>
  <si>
    <t xml:space="preserve"> Своевременное предоставление межбюджетных трансфертов на дополнительное финансовое обеспечение оказания первичной медико-санитарной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t>
  </si>
  <si>
    <t>ОМ 7.3.</t>
  </si>
  <si>
    <t>Основное мероприятие 3. Обеспечение реализации переданных Российской Федерацией полномочий в области охраны здоровья граждан по лицензированию отдельных видов деятельности</t>
  </si>
  <si>
    <t>7.3.1.</t>
  </si>
  <si>
    <t>Осуществление функций по реализации переданных Российской Федерацией полномочий в области охраны здоровья граждан по лицензированию отдельных видов деятельности</t>
  </si>
  <si>
    <t>Эффективная реализация государственных функций в сфере охраны здоровья  согласно Постановлению Правительства Мурманской области от 11.02.2011 № 54-ПП "Об утверждении положения о министерстве здравоохранения Мурманской области", предоставление соискателям лицензии на осуществление медицинской, фармацевтической деятельности,  деятельности по обороту наркотических средств, психотропных веществ и их прекурсоров, культивированию наркосодержащих растений в соответствии с установленными законодательством требованиями</t>
  </si>
  <si>
    <t>П 7.1.</t>
  </si>
  <si>
    <t xml:space="preserve">Региональный проект "Развитие экспорта медицинских услуг"                                                                                                                                                          ("Экспорт медицинских услуг")
</t>
  </si>
  <si>
    <t>7.1 Количество пролеченных иностранных граждан</t>
  </si>
  <si>
    <t xml:space="preserve"> </t>
  </si>
  <si>
    <t>Сведения о ходе реализации мероприятий государственной программы "Здравоохранение" Мурманской области за 6 месяцев 2022 года.</t>
  </si>
  <si>
    <t xml:space="preserve"> Комитет по обеспечению безопасности населения Мурманской области</t>
  </si>
  <si>
    <t>Министерство здравоохранения Мурманской области, медицинские организации, ТФОМС Мурманской области</t>
  </si>
  <si>
    <t>Фвктически выплатами обеспечены 966 чел.</t>
  </si>
  <si>
    <t>Министерство здравоохранения Мурманской области, медицинские организации, Комитет молодежной политики Мурманской области, ТФОМС Мурманской области, НКО</t>
  </si>
  <si>
    <t>Обеспечено содержание 8 фельдшерско-акушерских пунктов</t>
  </si>
  <si>
    <t>Выполнено 85 213 ед. лабораторных исследований, 76 179 ед. заборов биоматериалов</t>
  </si>
  <si>
    <t>Приобретено 33 451 ед.</t>
  </si>
  <si>
    <t>19 пациентам оказана специализированная, в том числе высокотехнологичная, медицинская помощь за пределами региона по предъявленным счетам на оплату от медицинских организаций</t>
  </si>
  <si>
    <t>Количество граждан, не способных к самостоятельному передвижению и/или использующих для передвижения коляску для инвалидов, получивших услуги по транспортировке специальным транспортным средством - 16 чел. Количество граждан, получивших услуги по транспортировке автотранспортом, за исключением специального транспортного средства для перевозки граждан, не способных к самостоятельному передвижению и/или использующих для передвижения коляску для инвалидов - 128 чел.</t>
  </si>
  <si>
    <t>Приобретено 1651 ед. медицинского оборудования и мебели для обеспеяения деятельности медицинских организаций</t>
  </si>
  <si>
    <t>Приобретение 14 единиц автотранспорта</t>
  </si>
  <si>
    <t xml:space="preserve">Оставшиеся средства запланированы к освоению во втором полугодии 2022 года, для 1) оплаты услуг по проведению социологического исследования в рамках наркомониторинга по итогам 2022 года. Цена договора составит порядка 310,0 тыс. рублей.  2) для оплаты услуг по проведению экспертизы результатов социалогического исследования на территории Мурманской области в рамках наркомониторинга.Цена договора составит порядка 10,0 тыс. рублей. </t>
  </si>
  <si>
    <t xml:space="preserve">Приобретались лекарственные препараты, медицинские изделия и специализированные продукты лечебного питания, необходимые при амбулаторном лечении (выписано 174618 рецептов, обеспечено 174618 рецептов за счет федерального и регионального бюджета на общую сумму 805483,05 тыс. рублей ). </t>
  </si>
  <si>
    <t xml:space="preserve">Приобретались лекарственные препараты, медицинские изделия и специализированные продукты лечебного питания, необходимые при амбулаторном лечении (выписано 160 рецептов, обеспечено 160 рецептов  на общую сумму  690,09 тыс. рублей ). </t>
  </si>
  <si>
    <t>Преобретены лекарственные препараты согласно Временным методическим рекомендациям Минздрава РФ. Обеспечены необходимыми лекарственными препаратами в амбулаторных условиях 36788 пациентов с COVID и 49960 пациентов с ОРВИ. Потребность полугодия 2022 года удовлетворена.</t>
  </si>
  <si>
    <t xml:space="preserve">Заключены государственные контракты на необходимое количество в 2022 году оказываемой услуги (потребность полугодия 2022 года удовлетворена). </t>
  </si>
  <si>
    <t>частично</t>
  </si>
  <si>
    <t>да</t>
  </si>
  <si>
    <t>Утилизация запланирована на второе полугодие 2022 года.</t>
  </si>
  <si>
    <t>Приобретаются лекарственные препараты необходимые при амбулаторном лечении пациентов с сердечно-сосудистыми заболеваниями с учетом остатков лекарственных препаратов (выписано 14865 рецептов, обеспечено 14865 рецептов  на общую сумму  23327,00 тыс. рублей). Из 3849 пациентов имеющих право, обеспчечены 3680 пациентов (95,6%).</t>
  </si>
  <si>
    <t xml:space="preserve">Приобретены лекарственные препараты - нусинерсен для одного пациента со спинальной мышечной атрофией. Пациент получает терапию данным препаратом в полном объеме. </t>
  </si>
  <si>
    <t>В 2022 году завершена разработка проектной документации по 3 объектам 2021 года (ГОБУЗ "Кандалакшская ЦРБ" (Зеленоборский), ГОБУЗ Оленегорская ЦГБ, ГОБУЗ Ловозерская ЦРБ. По объекту строительства поликлиники ГОБУЗ Кандалакшская ЦРБ (ул. Данилова) работы по разработке ПСД продолжаются готовность - 20%). Заключены контракты на разработку ПСД для 10 объектов.Планируется заключение контрактов на разработку ПСД еще по 2 объектам. Планировалось проводить капремонт на 4 объектах, но в связи с тем , что в ПСД выявлен ряд замечаний, ПСД откорректирована и  повторно направлена на госэкспертизу (Оленегорская ЦГБ и ЗАТО г Североморск). Осуществляются закупочные процедуры по объекту ОАР МОКМЦ, а в АКЦГБ работы осуществляются.</t>
  </si>
  <si>
    <t xml:space="preserve">Запланированные работы в 2022 году на 52 объектах осуществляются. Заключены контракты. Выполняются работы по замене оконных блоков,дверей, инженерных сетей. Ремонт фасадов и кровли и т.д. </t>
  </si>
  <si>
    <t>Работы ведутся. Расходы производятся в соответствии с заключенными договорами</t>
  </si>
  <si>
    <t>В связи с удорожанием строительных материалов в 2022 году будет поставлена и смонтирована 1 ед. модульной конструкции (п. Териберка). В настоящее время подготовлена конкурсная документация, которая находится на согласовании свыше 5 млн.</t>
  </si>
  <si>
    <t>В 2022 году планируется выполнить работы на 6 объктах. На 2 объектах работы завершены (ДП №5  и ГП 2), на остальных объектах работы продолжаются.</t>
  </si>
  <si>
    <t>Контракты на выполнение работ заключены. Выполнены работы  на установку и монтаж системы видеонаблюдения исполнен, работы выполнены – УПД № 142 от 01.06.2022г.; ТН № 160от 22.06.2022г.; УПД №16 от 22.06.2022г. и поставку и монтаж металлодетектора арочного исполнен - ТН 1403 от 15.06.2022г.</t>
  </si>
  <si>
    <t>Контракты на выполнение работ заключены. Осуществляются работы по ремонту помещений ФАПа, амбулатории,  подстанции СМП, теплосетей,  электросетей, кровель, фасадов и т.д.Разрабатывается ПСД. Работы планируется выполнить в 19 учреждениях на 49 объектах.</t>
  </si>
  <si>
    <t>Заключены контракты на выполнение работ. По одному объекту выполнение работ составляет 20%, по второму объекту осуществляются работы по подготовке площадки под монтаж модульной конструкции.</t>
  </si>
  <si>
    <t>Осуществляются работы на 7 объектах (1 объект переходящий на 2023 (Оленегорская ЦГБ). На 8 объекте работы завершены. ГОАУЗ Мончегорская ЦРБ (Ковдор). Акт от 30.03.2022.</t>
  </si>
  <si>
    <t>Осуществляются работы на 2 объектах. (ГП №1(ул. К Маркса,52) и Мончегорская ЦРБ (поликлиника на пр. Металлургов.35а)</t>
  </si>
  <si>
    <t>Финансирование не предусмотрено</t>
  </si>
  <si>
    <t>-</t>
  </si>
  <si>
    <t>Осуществляется в соответствии с планом расходования средств ГОБУЗ "МОКБ им. П.А. Баяндина"</t>
  </si>
  <si>
    <t>Внедрена система централизованной записи на прием к врачу для контакт-центра здравоохранения</t>
  </si>
  <si>
    <t>Кассовое исполнение - по факту исполнения контрактов (4 квартал 2022 года)</t>
  </si>
  <si>
    <t>Реализация мероприятия планируется в 3 квартале 2022 года</t>
  </si>
  <si>
    <t>Заключены контракты на обеспечение текущей деятельности Министерства (облуживание оргтехники, заправка картриджей)</t>
  </si>
  <si>
    <t>Заключены 2 контракта на обеспечение защиты доступа к ЗСПД в медорганизациях Мурманской области</t>
  </si>
  <si>
    <t>Заключен 1 ГК на 430 тыс руб., ведутся закупочные процедуры в 16 МО по проведению закупок на развитие МИС</t>
  </si>
  <si>
    <t>Исполнены 3 контракта на обеспечение услуг связи в период с 1 декабря 2021 по 31 мая 2022 года.
Заключен ГК на услуги связи на период с июня по сентябрь 2022 года
Проводится закупка на оказание услуг связи с октября по ноябрь 2022 года</t>
  </si>
  <si>
    <t>В настоящее время ведется разработка документации по развитию ресурсов РС ЕГИСЗ</t>
  </si>
  <si>
    <t>Ведется проведение закупки на развитие информационной системы автоматизации льготного лекарственного обеспечения</t>
  </si>
  <si>
    <t>Ведется разработка закупочной документации по развитию региональной телемедицинской системы</t>
  </si>
  <si>
    <t>Ведется разработка закупочной документации по созданию ГИС "Профилактика"</t>
  </si>
  <si>
    <t>Ведется разработка закупочной документации по созданию ГИС "Онкология"</t>
  </si>
  <si>
    <t>Ведется разработка закупочной документации по созданию ГИС "ССЗ"</t>
  </si>
  <si>
    <t>Ведется разработка закупочной документации по созданию ГИС "Акинео"</t>
  </si>
  <si>
    <t>Заключен контракт на техническое сопровождение систем РС ЕГИСЗ
Ведется разработка закупочной документации на сопровождение ЦАМИ МО</t>
  </si>
  <si>
    <t>Общая строительная готовность - 0%.
Получено положительное заключение государственной экспертизы проектной документации.
Объект передан в производство строительно-монтажных работ 05.07.2022.</t>
  </si>
  <si>
    <t>Общая строительная готовность - 2%.
Выполнены работы по демонтажу старого фундамента, организация строительной площадки.
Выполняется: разработка грунта котлована и разработка проектной документации с прохождением государственной экспертизы.</t>
  </si>
  <si>
    <t>Освоение бюджетных средств запланировано во втором полугодии 2022 года</t>
  </si>
  <si>
    <t xml:space="preserve"> В срок до 06.07.2022  Проектировщик направляет откорректированные по новым МТЗ и замечаниям Застройщика планировки.
Госэкспертиза до 31.10.2022. 
 Плановая дата заключения контракта 10.12.2022г</t>
  </si>
  <si>
    <t>ГК № 75-2022 от 20.06.2022. Общая строительная готовность - 0%.
Получено положительное заключение государственной экспертизы проектной документации.
Объект передан в производство строительно-монтажных работ 05.07.2022. Согласно графику выполнения строительно-монтажных работ в сентябре подрядчик приступит к  возведению надземной части здания, в том числе: подвала, 1 этажа и гаража. Возведение надземной части 2 и 3 этажей планируется в 2023 году.</t>
  </si>
  <si>
    <t xml:space="preserve">План  на 2022 год - 13246 госпитализаций, факт - 7045 госпитализаций (53%). </t>
  </si>
  <si>
    <t>План на 2022 год 216002 вызова, факт за 6 месяцев 100818 вызовов - 46,7%.</t>
  </si>
  <si>
    <t>План на 2022 год 3182 госпитализации, факт за 6 месяцев - 397 госпитализаций - 12,5%</t>
  </si>
  <si>
    <t>План на 2022 год 1460 госпитализаций, факт за 6 месяцев - 538 -  40%.</t>
  </si>
  <si>
    <t>План на 2022 год 105244 госпитализаций, факт за 6 месяцкв - 64212 госпитализаций, 61%</t>
  </si>
  <si>
    <t>В фактическом исполнении учтены средства МБТ по Распоряжению Правительства РФ№ 789-Р от 07.04.2022  в сумме - 87287,9 тыс. руб</t>
  </si>
  <si>
    <t>План на 2022 год 6 136 084 посещения, факт за 6 месяцев 2714132 - 44,2%</t>
  </si>
  <si>
    <t>План на 2022 год 127667 чел., факт за 6 месяцев - 27926 -22%.</t>
  </si>
  <si>
    <t>Основными причинами низкого уровня целевых показателей на 2022 год по обеспечению медицинскими кадрами в медицинских организациях Мурманской области является: увольнение медицинских работников в связи с достижением пенсионного возраста, переменой места жительства,  увольнением по инициативе медицинских работников; внутренняя миграция специалистов в медицинских учреждениях; отказ молодых специалистов (обучившихся по программам ординатуры) от работы в медицинских учреждениях</t>
  </si>
  <si>
    <t>Количество медицинских организаций, с которыми заключены соглашения о предоставлении средств НСЗ ТФОМС для софинансирования расходов медицинских организаций на оплату труда врачей и среднего медицинского персонала – 12
Общая потребность для Мурманской области в медицинских работниках на 2022 год, оказывающих первичную медико-санитарную помощь, составляет 28 человек по категории врачи и 43 человека по категории средний медицинский персонал.
За отчетный период в медицинских организациях Мурманской области нет прироста численности среднего медицинского персонала (-10 чел.) и врачей  (-72чел).</t>
  </si>
  <si>
    <t xml:space="preserve">Фактическое исполнение: 1 случай в сумме 2,8тыс руб </t>
  </si>
  <si>
    <t>План на 2022 год 26670 посещений, факт за 6 месяцев 4870 посещений - 18,3%.</t>
  </si>
  <si>
    <t xml:space="preserve">обучено 5 чел.
</t>
  </si>
  <si>
    <t>Реализуется в рамках РП</t>
  </si>
  <si>
    <t>предоставлены выплаты 4 чел.</t>
  </si>
  <si>
    <t>Выплаты носят заявительный характер, полное освоение планируется в 4 квартале</t>
  </si>
  <si>
    <t>Выплаты носят заявительный характер, расходы производятся по фактической потребности</t>
  </si>
  <si>
    <t>выплаты предоставлены 30 чел.</t>
  </si>
  <si>
    <t>выплаты предоставлены 592 медицинским работникам</t>
  </si>
  <si>
    <t>выплаты предоставлены 10 чел.</t>
  </si>
  <si>
    <t>предоставлено служебное жилье студентам-ординаторам и студентам-целевикам в периоды пандемии и производственной практики</t>
  </si>
  <si>
    <t>произведена оплата обучения 20 ординаторов</t>
  </si>
  <si>
    <t>выплачена стипендия 20 ординаторам</t>
  </si>
  <si>
    <t>Проведена консультативно-методическая помощь:_x000D_ 1)  специалистам  мед.организаций  в т.ч. индивидуальное консультирование пациентов и врачей;_x000D_ 2)   доверенным врачам по вопросам ВИЧ/СПИДа;_x000D_ 3) населению по вопросам профилактики ВИЧ-инфекции и формированию навыков безопасного поведения;_x000D_ 4)  по вопросам профилактики ВИЧ-инфекции специалистам, работающим с подростами и молодёжью;_x000D_ 5)  родственникам ВИЧ-инфицированных пациентов и контактным лицам ;</t>
  </si>
  <si>
    <t>произведена выплата ежемесячной стипендии 167 студентам</t>
  </si>
  <si>
    <t>Произведена выплата ежемесячной стипендии 64 ординаторам</t>
  </si>
  <si>
    <t>Экономия денежных средств образовалась в связи с отчислением 2 ординаторов</t>
  </si>
  <si>
    <t xml:space="preserve">
Произведены  единовременные компенсационные выплаты  93 чел</t>
  </si>
  <si>
    <t xml:space="preserve">
Проведен конкурс "Лучшая медицинская сестра", выплачены премии 3 победителям</t>
  </si>
  <si>
    <t>Конкурс лучший врач будет проведен в 4 квартале 2022 года</t>
  </si>
  <si>
    <t xml:space="preserve">Свидетельства выданы 20 медицинским работникам </t>
  </si>
  <si>
    <t>Денежные средства переведены 8 медицинским работникам,предоставившим  договоры купли-продажи жилья</t>
  </si>
  <si>
    <t>212 052 человеко-часов; 72 человека</t>
  </si>
  <si>
    <t>Экономия денежных средств образовалась в связи с увольнением 14 врачей, имевших право на ежеквартальные  выплаты, в настоящее время трудоустроены 67 медицинских работников, 25 - планируются в августе. Мероприятие будет исполнено.</t>
  </si>
  <si>
    <t xml:space="preserve">Процент готовности проектной документации - 20%
</t>
  </si>
  <si>
    <t>Согласно сведениям по начисленным и уплаченным взносам на ОМС неработающего населения (Форма № СВ-ОМС приказ ФОМС от 14.05.32013 №107) , численность неработающих застрахованных лиц в Мурманской области  на 01.01.2022 года 373825 чел.</t>
  </si>
  <si>
    <t>План - 58063 компл. посещ в сумме 110123,5 тыс. руб, факт - 6506 к. посещ. В сумме 7574,0 тыс. руб. , выполнение 11,2%</t>
  </si>
  <si>
    <t xml:space="preserve">Невыполнение объемов обусловлено введением ограничительных мероприятий  ПП Мурманской обл. от 04.04.2020г. №175-ПП. (изм. от 26.01.2022г№41). </t>
  </si>
  <si>
    <t>Ожидаемое выполнение 100%</t>
  </si>
  <si>
    <t xml:space="preserve">     Генетика. План-кол-во исследований-160, факт-кол-во исследований 110. Выполнение -69 %.  Клиническая лабораторная диагностика(скрининг)    План-кол-во исследований-6000, факт-кол-во исследований 2813. Выполнение -47 %.  </t>
  </si>
  <si>
    <t>Обеспечена реализация государственных функций в сфере охраны здоровья</t>
  </si>
  <si>
    <t>План на 2022 год 13030 посещений, факт за 6 месяцев 8737 поещений 67% от годового показателя</t>
  </si>
  <si>
    <t>Мероприятия запланированы к реализации в 4 квартале 2022 года</t>
  </si>
  <si>
    <t>1) В 2022 году во взаимодействии с ФГБОУ ВО "Мурманский арктический государственный университет" (далее – ФГБОУ ВО "МАГУ") на основании договора № 2 от 18.02.2022 организована работа по подготовке Доклада о наркоситуации в Мурманской области по итогам 2021 года. Цена договора составила 139,0 тыс. рублей. ФГБОУ ВО "МАГУ" работы по договору выполнены в полном объеме. Доклад рассмотрен на заседании антинаркотической комиссии Мурманской области 25.03.2022 и 15.04.2021 направлен в адрес Государственного антинаркотического комитета. Согласно утвержденному Губернатором Мурманской области плану проведено 2 заседания областной антинаркотической комиссии (25.03.2022 и 13.07.2022). Кроме того 29.03.2022,  проведено заседание рабочей группы антинаркотической  комиссии Мурманской области. 2) Приобретены концелярские товары для деятельности Комитета по обеспечеиню безопасности населения Мурманской области. Цена 6,950 тыс. рублей</t>
  </si>
  <si>
    <t>Гос.задание за 2022 год выполнено: первичная медико -санитарная помощь:_x000D_
_x000D_1) в части профилактики: 10739 посещ._x000D_
_x000D_2) в части диагностики и лечения 4109 посещ._x000D_
_x000D_3) в условиях днвного стационара 238 случ. леч.</t>
  </si>
  <si>
    <t>Невыполнение объемов обусловлено введением ограничительных мероприятий по проведению диспансеризации - ПП Мурманской обл. от 04.04.2020г. №175-ПП. (изм. от 26.01.2022 № 41-ПП). Снятие ограничительных мероприятий с 25.03.2022г Приказом МЗ МО от 21.03.2022г №170</t>
  </si>
  <si>
    <t>Средства закантрактованы</t>
  </si>
  <si>
    <t>Мероприятие запланировано к проведению во втором полугодии 2022 года</t>
  </si>
  <si>
    <t>Позднее поступление счетов за коммунальные услуги от поставщиков. Выплаты планируются на 3-4 квартал 2022 года</t>
  </si>
  <si>
    <t>Невыполнение объемов обусловлено введением ограничительных мероприятий по проведению диспансеризации - ПП Мурманской обл. от 04.04.2020г. №175-ПП (изм. от 26.01.2022 № 41-ПП)</t>
  </si>
  <si>
    <t>Выполнение мероприятия планируется в 3-4 кв. 2022 года</t>
  </si>
  <si>
    <t>Позднее поступление счетов от арендодателя. Выплаты планируются на 3-4 квартал 2022 года.</t>
  </si>
  <si>
    <t>Затраты на транспортировку препаратов,  перераспределеных  между субъектами РФ, производятся в течение года по мере необходимости (прогнозировать невозможно)</t>
  </si>
  <si>
    <t>Плановый показатель на 2022 год - 24 отчета. Планируется снижение показателя на 2022 год до 12 отчетов. Выполнение мероприятия во втором полугодии 2022 года</t>
  </si>
  <si>
    <t>Выполнено 74 полета из запланированных 123 в 2022 году</t>
  </si>
  <si>
    <t>Мероприятие реализуется в течение года</t>
  </si>
  <si>
    <t>По причине переходящих остатков лекарственных препаратов с 2020 года сроком на 3 года (лекарственные препараты закуплены в 2020 году за деньги 2020 года, потребность в 2020 году не соответствовала выделенной сумме средств). Потребность удовлетворена на 100%. Дополнительные закупки лекарственных препаратов будут проводиться в 3 квартале 2022 года.</t>
  </si>
  <si>
    <t>Низкое исполнение в связи с необходимостью проведение подготовительных мероприятий согласно ФЗ от 05.04.2013 № 44-ФЗ</t>
  </si>
  <si>
    <t>Поставка необходимого препарат согласно ГК в июне 2022 года, кассовый расход в июле 2022 года. Препарат вводится 3 раза в год, первое введение в 2022 году осуществлено за счет переходящего остатка.</t>
  </si>
  <si>
    <t>Выполнение мероприятия во втором полугодии 2022 года</t>
  </si>
  <si>
    <t>Мероприятие планируется исполнить в полном объеме в 4 квартале 2022 года</t>
  </si>
  <si>
    <t>Исполнение мероприятия в полном объеме запланировано на конец 2022 года</t>
  </si>
  <si>
    <t>Невыполнение объемов обусловлено введением ограничительных мероприятий по проведению диспансеризации - ПП Мурманской обл. от 04.04.2020г. №175-ПП. (изм. от 26.01.2022 № 41-ПП)</t>
  </si>
  <si>
    <t xml:space="preserve">Невыполнение по финансовым показателям связано с предъявлением на оплату менее дорогостоящих случаев лечения. В настоящее время вносятся изменения в Программу Здравоохранение по профилю "онкология". Скорректированная запланированная сумма по профилю "онкология" на 2022 год будет составлять 1756018,9 тыс. руб., / 14802 госп. </t>
  </si>
  <si>
    <t>Выполнение работ по заключенным контрактам сентябрь - декабрь, планируютя выплаты в 3-4 квартале 2022 года</t>
  </si>
  <si>
    <t>Выполнение работ и освоение средств в 3-4 квартале 2022 года</t>
  </si>
  <si>
    <t>Завершение работ 3-4 квартал 2022 года</t>
  </si>
  <si>
    <t>Дата разработки проектной документации и прохождение государственной экспертизы - ноябрь 2022 года</t>
  </si>
  <si>
    <t xml:space="preserve">Строительство амбулатория (с подстанцией скорой помощи и дневным стационаром) ГОБУЗ "Кандалакшская ЦРБ"(Мурманская область, 
Кандалакшский район, 
п. Зеленоборский, 
ул. Магистральная, 30), том числе разработка ПСД
</t>
  </si>
  <si>
    <t>Заключение контракта запланировано в декабре 2022 года</t>
  </si>
  <si>
    <t>Выплаты планируются после доработки ПСД и заключения ГПД в 3-4 квартале 2022 года</t>
  </si>
  <si>
    <t>Капитальный ремонт детской поликлиники ГОБУЗ "Печенгская центральная районная больница Мурманская область, г. Заполярный, ул. Терешковой, 2а:
Объект передан Подрядчику 07.10.2021.
Выполнено: Подготовительные работы. Демонтажные работы на 1-2 этажах. Пробивка, усиление дверных проемов.
Расчистка шлака на половине чердачного перекрытия.Установлены леса на главном фасаде (по осям А, Б, 3, 4). Утепление фасада в осях 4-6 по оси А и в осях А-Б по оси 4, в осях 3-4 по оси Б. Подготовка помещений под электрощитовую;монтаж внутренних инженерных сетей: отопление.2-й этаж: черновая отделка стен.Кровельные работы. В подвале: устройство черновых полов, усиление проемов.
В настоящее время ведутся работы по утеплению чердачных перекрытий. Установка фасадной системы. На 1 этаже ведутся электротехнические работы, устройство вентиляции. На 1,2 этаже ведутся отделочные работы.Общая техническая готовность -  62% 
Выполняются работы по корректировке проектной документации (ведется параллельно)</t>
  </si>
  <si>
    <t>Планируются выплаты во втором полугодии 2022 года, окончательный расчет после поставки оборудования</t>
  </si>
  <si>
    <t>Планируется реализация мероприятия в 3-4 кварталах 2022 года</t>
  </si>
  <si>
    <t>Выплаты стипендии производятся только студентам, обучающимся на хорошо и отлично</t>
  </si>
  <si>
    <t>Расходование средств - в соответствии с планом использования в течение 2022 года</t>
  </si>
  <si>
    <t>15 561 чел. фактически обеспечены выплатами</t>
  </si>
  <si>
    <t xml:space="preserve">Выполнение планового показателя в течение 2022 года.
_x000D_
_x000D_
_x000D_
</t>
  </si>
  <si>
    <t>В связи со снижением заболеваемости ОРВИ, гриппом и новой короновирусной инфекции  ставки медицинских работников, задействованных в оказании консультативной помощи  с применением телемедицинских технологий, были сокращены</t>
  </si>
  <si>
    <t>За первое полугодие 2022 года было было представлено 20 заявлений о предоставлении лицензии, из которых 7 заявлений были отозваны соискателями лицензий; 52 заявления о внесении изменений в реестр лицензий, из которых 11 были отозваны лицензиатами. Предоставлено 8 лицензий, по 32 внесены изменения в реестр лицензий на медицинскую деятельность. По фармацевтической деятельнорсти было получено 3 заявления о предоставлении лицензии и 34 о внесении изменений в реестр лицензий. Предоставлено 4 лицензии, по 32 внесены изменения изменения в реестр лицензий на фармацевтическую деятельность. По деятельности по обороту наркотических средств, психотропных веществ и их прекурсоров, культивированию наркосодержащих растений были внесены изменения в реестр лицензий по 1 заявлению о внесении изменений.</t>
  </si>
  <si>
    <t>Всего Министерство строительства Мурманской области</t>
  </si>
  <si>
    <t>Работы не осуществлялись, т.к. проектная документация еще не получила положительное заключение госэкспертизы. Планируемый срок получения 01.09.2022</t>
  </si>
  <si>
    <t>Ведется разработка проектно-сметной документации на объект</t>
  </si>
  <si>
    <t>ГК от 02.03.2022 № 19-2022 (на I этап строительства). Срок выполнения работ по контракту - 21.07.2024. Общая строительная готовность - 0,12%.
Выполнены работы по демонтажу старого фундамента, организация строительной площадки.
Выполняется: разработка грунта котлована и разработка проектной документации с прохождением государственной экспертизы.</t>
  </si>
  <si>
    <t>Обеспечены финасовые расходы, связанные с арендой помещения</t>
  </si>
  <si>
    <t>Утилизация лекарственных препаратов согласно предписанию ТО Росздравнадзора. Договор с СОРЭКС в стадии заключения.</t>
  </si>
  <si>
    <t>Мероприятие планируется исполнить в полном во втором полугодии 2022 года</t>
  </si>
  <si>
    <t xml:space="preserve">Обеспечено по 1040 рецептам 1935 упаковками на сумму 2 850,634 тыс.руб. Рецепты, находящиеся на отсроченном обеспечении, отсутствуют. Потребность 1 полугодия 2022 года  удовлетворена. </t>
  </si>
  <si>
    <t>Освоение по заявкам в течение года согласно заключенным ГПД</t>
  </si>
  <si>
    <t xml:space="preserve">Выполнение объемных показателей по СПЭ за полугодие 101,4% </t>
  </si>
  <si>
    <t xml:space="preserve">Приняты обязательства в полном объеме (контракты заключены). </t>
  </si>
  <si>
    <t>1.Организация круглосуточного приема, содержания, выхаживания и воспитания детей (11452 койко/дней)  2. Оказание медицинской (в том числе психиатрической), социальной и психолого-педагогической помощи детям, находящимся в трудной жизненной ситуации в специализированных домах ребенка ( 43 посещения дневного стационара отделения ранней помощи)</t>
  </si>
  <si>
    <t>В связи с удорожанием строительных материалов предусмотренных средств недостаточно для реализации мероприятия. Повторно запрашивались коммерческие предложения и принято решение о поставке 1 модульной конструкции. Реализация мероприятия - декабрь 2022. Изменения в ожидаемые результаты будут внесены в план реализации госпрограммы</t>
  </si>
  <si>
    <t>Завершение работ 4 квартал 2022</t>
  </si>
  <si>
    <r>
      <t>Заключено 48 контрактов (договоров)</t>
    </r>
    <r>
      <rPr>
        <sz val="8"/>
        <rFont val="Times New Roman"/>
        <family val="1"/>
        <charset val="204"/>
      </rPr>
      <t xml:space="preserve">
В настоящее время ведутся закупочные процедуры для освоения оставшихся средств</t>
    </r>
  </si>
  <si>
    <r>
      <t>Заключено 5 контрактов (договоров)</t>
    </r>
    <r>
      <rPr>
        <sz val="8"/>
        <rFont val="Times New Roman"/>
        <family val="1"/>
        <charset val="204"/>
      </rPr>
      <t xml:space="preserve">
Ведутся закупочные процедуры для обеспечения полноценного освоения средств</t>
    </r>
  </si>
  <si>
    <t>Обеспечена реализация государственных функций в сфере охраны здоровья, согласно Постановлению Правительства Мурманской области от 11.02.2011 № 54-ПП "Об утверждении положения о министерстве здравоохранения Мурманской области", в части защиты прав граждан на получение качественной медицинской помощи</t>
  </si>
  <si>
    <t>Проведены массовые мероприятия в сфере здравоохранения, посвященные проведению расширенной коллегии Министерства здравоохранения Мурманской области и празднованию Дня медицинского работника</t>
  </si>
  <si>
    <t>Амбулаторная помощь: план 226033 посещ./факт 72681пос., выполнение 33%. Стационар, в том числе паллиативная помощь: план 3145 сл.госп. , факт  1687 сл.госп., выполнение 53%. Дневной стационар - план 480 сл. лечения , факт 238 случ., выполнение 50,4%</t>
  </si>
  <si>
    <t>Утверждено 17069 обращений/ фактическое исполненние. Выполнение - 93,8%</t>
  </si>
  <si>
    <t>Во втором полугодии будут заключены дополнительные государственные контракты за счет ФБ на приобретение необходимых лекарственных препаратов исходя из заболеваимости</t>
  </si>
  <si>
    <t>социальная поддержка предоставлена 4596 чел</t>
  </si>
  <si>
    <t>Фактически начислено выплат 1 046 чел.</t>
  </si>
  <si>
    <t>Фактически начислено выплат 1 163 чел.</t>
  </si>
  <si>
    <t>Фактически начислено выплат 1 054 чел.</t>
  </si>
  <si>
    <t>Фактически начислена компенсаций 31 чел.</t>
  </si>
  <si>
    <t>Фактически начислено выплат 653 чел.</t>
  </si>
</sst>
</file>

<file path=xl/styles.xml><?xml version="1.0" encoding="utf-8"?>
<styleSheet xmlns="http://schemas.openxmlformats.org/spreadsheetml/2006/main">
  <numFmts count="5">
    <numFmt numFmtId="43" formatCode="_-* #,##0.00\ _₽_-;\-* #,##0.00\ _₽_-;_-* &quot;-&quot;??\ _₽_-;_-@_-"/>
    <numFmt numFmtId="164" formatCode="#,##0.0"/>
    <numFmt numFmtId="165" formatCode="0.0%"/>
    <numFmt numFmtId="166" formatCode="_-* #,##0.0\ _₽_-;\-* #,##0.0\ _₽_-;_-* &quot;-&quot;?\ _₽_-;_-@_-"/>
    <numFmt numFmtId="167" formatCode="_-* #,##0.00_р_._-;\-* #,##0.00_р_._-;_-* &quot;-&quot;??_р_._-;_-@_-"/>
  </numFmts>
  <fonts count="17">
    <font>
      <sz val="10"/>
      <color theme="1"/>
      <name val="Times New Roman"/>
      <family val="2"/>
      <charset val="204"/>
    </font>
    <font>
      <sz val="9"/>
      <name val="Times New Roman"/>
      <family val="1"/>
      <charset val="204"/>
    </font>
    <font>
      <sz val="10"/>
      <name val="Times New Roman"/>
      <family val="1"/>
      <charset val="204"/>
    </font>
    <font>
      <sz val="8"/>
      <name val="Times New Roman"/>
      <family val="1"/>
      <charset val="204"/>
    </font>
    <font>
      <sz val="11"/>
      <color indexed="8"/>
      <name val="Calibri"/>
      <family val="2"/>
      <charset val="204"/>
    </font>
    <font>
      <b/>
      <sz val="8"/>
      <name val="Times New Roman"/>
      <family val="1"/>
      <charset val="204"/>
    </font>
    <font>
      <sz val="8.5"/>
      <name val="Times New Roman"/>
      <family val="1"/>
      <charset val="204"/>
    </font>
    <font>
      <b/>
      <sz val="8.5"/>
      <name val="Times New Roman"/>
      <family val="1"/>
      <charset val="204"/>
    </font>
    <font>
      <sz val="10"/>
      <color theme="1"/>
      <name val="Times New Roman"/>
      <family val="2"/>
      <charset val="204"/>
    </font>
    <font>
      <sz val="11"/>
      <color theme="1"/>
      <name val="Calibri"/>
      <family val="2"/>
      <charset val="204"/>
      <scheme val="minor"/>
    </font>
    <font>
      <sz val="9"/>
      <color theme="1"/>
      <name val="Times New Roman"/>
      <family val="1"/>
      <charset val="204"/>
    </font>
    <font>
      <sz val="9"/>
      <color rgb="FFFF0000"/>
      <name val="Times New Roman"/>
      <family val="1"/>
      <charset val="204"/>
    </font>
    <font>
      <sz val="8"/>
      <color theme="1"/>
      <name val="Times New Roman"/>
      <family val="1"/>
      <charset val="204"/>
    </font>
    <font>
      <sz val="10"/>
      <color theme="1"/>
      <name val="Times New Roman"/>
      <family val="1"/>
      <charset val="204"/>
    </font>
    <font>
      <sz val="8"/>
      <name val="Calibri"/>
      <family val="2"/>
      <charset val="204"/>
      <scheme val="minor"/>
    </font>
    <font>
      <strike/>
      <sz val="8"/>
      <color rgb="FFFF0000"/>
      <name val="Times New Roman"/>
      <family val="1"/>
      <charset val="204"/>
    </font>
    <font>
      <b/>
      <sz val="9"/>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top/>
      <bottom/>
      <diagonal/>
    </border>
  </borders>
  <cellStyleXfs count="9">
    <xf numFmtId="0" fontId="0" fillId="0" borderId="0"/>
    <xf numFmtId="0" fontId="9" fillId="0" borderId="0"/>
    <xf numFmtId="0" fontId="9" fillId="0" borderId="0"/>
    <xf numFmtId="9" fontId="8" fillId="0" borderId="0" applyFont="0" applyFill="0" applyBorder="0" applyAlignment="0" applyProtection="0"/>
    <xf numFmtId="43" fontId="8"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4" fillId="0" borderId="0" applyFont="0" applyFill="0" applyBorder="0" applyAlignment="0" applyProtection="0"/>
    <xf numFmtId="0" fontId="9" fillId="0" borderId="0" applyFont="0" applyFill="0" applyBorder="0" applyAlignment="0" applyProtection="0"/>
  </cellStyleXfs>
  <cellXfs count="294">
    <xf numFmtId="0" fontId="0" fillId="0" borderId="0" xfId="0" applyFont="1"/>
    <xf numFmtId="0" fontId="10" fillId="0" borderId="0" xfId="0" applyFont="1" applyAlignment="1" applyProtection="1">
      <alignment vertical="center"/>
    </xf>
    <xf numFmtId="1" fontId="10" fillId="0" borderId="0" xfId="0" applyNumberFormat="1" applyFont="1" applyAlignment="1" applyProtection="1">
      <alignment horizontal="center" vertical="center"/>
    </xf>
    <xf numFmtId="0" fontId="10" fillId="0" borderId="0" xfId="0" applyFont="1" applyAlignment="1">
      <alignment vertical="center"/>
    </xf>
    <xf numFmtId="0" fontId="11" fillId="0" borderId="0" xfId="0" applyFont="1" applyAlignment="1">
      <alignment vertical="center"/>
    </xf>
    <xf numFmtId="0" fontId="10" fillId="0" borderId="0" xfId="0" applyNumberFormat="1" applyFont="1" applyAlignment="1" applyProtection="1">
      <alignment horizontal="center" vertical="center"/>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164" fontId="10" fillId="0" borderId="0" xfId="0" applyNumberFormat="1" applyFont="1" applyAlignment="1" applyProtection="1">
      <alignment horizontal="center" vertical="center"/>
    </xf>
    <xf numFmtId="164" fontId="12" fillId="0" borderId="0" xfId="0" applyNumberFormat="1" applyFont="1" applyAlignment="1" applyProtection="1">
      <alignment horizontal="center" vertical="center"/>
    </xf>
    <xf numFmtId="165" fontId="12" fillId="0" borderId="0" xfId="0" applyNumberFormat="1" applyFont="1" applyAlignment="1" applyProtection="1">
      <alignment horizontal="center" vertical="center"/>
    </xf>
    <xf numFmtId="165" fontId="10" fillId="0" borderId="0" xfId="0" applyNumberFormat="1" applyFont="1" applyAlignment="1" applyProtection="1">
      <alignment horizontal="center" vertical="center"/>
    </xf>
    <xf numFmtId="165" fontId="10" fillId="0" borderId="0" xfId="0" applyNumberFormat="1" applyFont="1" applyAlignment="1" applyProtection="1">
      <alignment horizontal="center" vertical="center" wrapText="1"/>
    </xf>
    <xf numFmtId="0" fontId="0" fillId="0" borderId="0" xfId="0" applyFont="1" applyAlignment="1">
      <alignment horizontal="center" vertical="center"/>
    </xf>
    <xf numFmtId="164"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pplyFill="1" applyAlignment="1">
      <alignment vertical="center"/>
    </xf>
    <xf numFmtId="4" fontId="12" fillId="0" borderId="0" xfId="0" applyNumberFormat="1" applyFont="1" applyAlignment="1">
      <alignment horizontal="center" vertical="center"/>
    </xf>
    <xf numFmtId="4" fontId="12" fillId="0" borderId="0" xfId="0" applyNumberFormat="1" applyFont="1" applyAlignment="1" applyProtection="1">
      <alignment horizontal="center" vertical="center"/>
    </xf>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4" fontId="2" fillId="2" borderId="1" xfId="0" applyNumberFormat="1" applyFont="1" applyFill="1" applyBorder="1" applyAlignment="1">
      <alignment horizontal="center" vertical="center" wrapText="1"/>
    </xf>
    <xf numFmtId="164" fontId="1" fillId="2" borderId="1"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xf>
    <xf numFmtId="3" fontId="1" fillId="2" borderId="1" xfId="0" applyNumberFormat="1" applyFont="1" applyFill="1" applyBorder="1" applyAlignment="1" applyProtection="1">
      <alignment horizontal="center" vertical="center" wrapText="1"/>
    </xf>
    <xf numFmtId="164" fontId="3" fillId="2" borderId="1" xfId="0" applyNumberFormat="1" applyFont="1" applyFill="1" applyBorder="1" applyAlignment="1">
      <alignment horizontal="left" vertical="center" wrapText="1"/>
    </xf>
    <xf numFmtId="164" fontId="3" fillId="2" borderId="1" xfId="4" applyNumberFormat="1" applyFont="1" applyFill="1" applyBorder="1" applyAlignment="1">
      <alignment horizontal="center" vertical="center" wrapText="1"/>
    </xf>
    <xf numFmtId="165" fontId="5" fillId="2" borderId="1" xfId="0" applyNumberFormat="1" applyFont="1" applyFill="1" applyBorder="1" applyAlignment="1" applyProtection="1">
      <alignment horizontal="center" vertical="center"/>
    </xf>
    <xf numFmtId="4"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64" fontId="3" fillId="2" borderId="1" xfId="5" applyNumberFormat="1"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164" fontId="3" fillId="3" borderId="1" xfId="4" applyNumberFormat="1" applyFont="1" applyFill="1" applyBorder="1" applyAlignment="1">
      <alignment horizontal="center" vertical="center" wrapText="1"/>
    </xf>
    <xf numFmtId="165" fontId="5" fillId="3" borderId="1" xfId="0" applyNumberFormat="1" applyFont="1" applyFill="1" applyBorder="1" applyAlignment="1" applyProtection="1">
      <alignment horizontal="center" vertical="center"/>
    </xf>
    <xf numFmtId="0" fontId="1" fillId="3" borderId="1" xfId="0" applyFont="1" applyFill="1" applyBorder="1" applyAlignment="1">
      <alignment horizontal="center" vertical="center" wrapText="1"/>
    </xf>
    <xf numFmtId="4" fontId="3" fillId="3" borderId="1" xfId="0" applyNumberFormat="1" applyFont="1" applyFill="1" applyBorder="1" applyAlignment="1" applyProtection="1">
      <alignment horizontal="center" vertical="center"/>
    </xf>
    <xf numFmtId="165" fontId="3" fillId="3" borderId="1" xfId="0" applyNumberFormat="1" applyFont="1" applyFill="1" applyBorder="1" applyAlignment="1" applyProtection="1">
      <alignment horizontal="center" vertical="center"/>
    </xf>
    <xf numFmtId="10" fontId="1" fillId="3" borderId="1" xfId="0" applyNumberFormat="1" applyFont="1" applyFill="1" applyBorder="1" applyAlignment="1">
      <alignment horizontal="center" vertical="center" wrapText="1"/>
    </xf>
    <xf numFmtId="164" fontId="3" fillId="4" borderId="1" xfId="0" applyNumberFormat="1" applyFont="1" applyFill="1" applyBorder="1" applyAlignment="1">
      <alignment horizontal="left" vertical="center" wrapText="1"/>
    </xf>
    <xf numFmtId="164" fontId="3" fillId="4" borderId="1" xfId="4" applyNumberFormat="1" applyFont="1" applyFill="1" applyBorder="1" applyAlignment="1">
      <alignment horizontal="center" vertical="center" wrapText="1"/>
    </xf>
    <xf numFmtId="4" fontId="3"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horizontal="center" vertical="center"/>
    </xf>
    <xf numFmtId="0" fontId="1" fillId="4" borderId="1" xfId="0" applyFont="1" applyFill="1" applyBorder="1" applyAlignment="1">
      <alignment horizontal="center" vertical="center" wrapText="1"/>
    </xf>
    <xf numFmtId="165" fontId="3" fillId="4" borderId="1" xfId="0" applyNumberFormat="1" applyFont="1" applyFill="1" applyBorder="1" applyAlignment="1" applyProtection="1">
      <alignment horizontal="center" vertical="center"/>
    </xf>
    <xf numFmtId="10" fontId="1" fillId="4" borderId="1" xfId="0" applyNumberFormat="1" applyFont="1" applyFill="1" applyBorder="1" applyAlignment="1">
      <alignment horizontal="center" vertical="center" wrapText="1"/>
    </xf>
    <xf numFmtId="4" fontId="3" fillId="4" borderId="1" xfId="4" applyNumberFormat="1" applyFont="1" applyFill="1" applyBorder="1" applyAlignment="1">
      <alignment horizontal="center" vertical="center" wrapText="1"/>
    </xf>
    <xf numFmtId="164" fontId="3" fillId="5" borderId="1" xfId="0" applyNumberFormat="1" applyFont="1" applyFill="1" applyBorder="1" applyAlignment="1">
      <alignment horizontal="left" vertical="center" wrapText="1"/>
    </xf>
    <xf numFmtId="164" fontId="3" fillId="5" borderId="1" xfId="4" applyNumberFormat="1" applyFont="1" applyFill="1" applyBorder="1" applyAlignment="1">
      <alignment horizontal="center" vertical="center" wrapText="1"/>
    </xf>
    <xf numFmtId="4" fontId="3" fillId="5" borderId="1" xfId="0" applyNumberFormat="1" applyFont="1" applyFill="1" applyBorder="1" applyAlignment="1" applyProtection="1">
      <alignment horizontal="center" vertical="center"/>
    </xf>
    <xf numFmtId="165" fontId="5" fillId="5" borderId="1" xfId="0" applyNumberFormat="1" applyFont="1" applyFill="1" applyBorder="1" applyAlignment="1" applyProtection="1">
      <alignment horizontal="center" vertical="center"/>
    </xf>
    <xf numFmtId="165" fontId="3" fillId="5" borderId="1" xfId="0" applyNumberFormat="1" applyFont="1" applyFill="1" applyBorder="1" applyAlignment="1" applyProtection="1">
      <alignment horizontal="center" vertical="center"/>
    </xf>
    <xf numFmtId="4" fontId="3" fillId="5" borderId="1" xfId="4" applyNumberFormat="1" applyFont="1" applyFill="1" applyBorder="1" applyAlignment="1">
      <alignment horizontal="center" vertical="center" wrapText="1"/>
    </xf>
    <xf numFmtId="4" fontId="3" fillId="3" borderId="1" xfId="4" applyNumberFormat="1" applyFont="1" applyFill="1" applyBorder="1" applyAlignment="1">
      <alignment horizontal="center" vertical="center" wrapText="1"/>
    </xf>
    <xf numFmtId="0" fontId="3" fillId="3" borderId="2" xfId="0" applyNumberFormat="1"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wrapText="1"/>
      <protection locked="0"/>
    </xf>
    <xf numFmtId="164" fontId="3" fillId="5" borderId="4" xfId="4"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5" borderId="1" xfId="0" applyNumberFormat="1" applyFont="1" applyFill="1" applyBorder="1" applyAlignment="1" applyProtection="1">
      <alignment horizontal="center" vertical="center"/>
    </xf>
    <xf numFmtId="164" fontId="3" fillId="5" borderId="1" xfId="5" applyNumberFormat="1" applyFont="1" applyFill="1" applyBorder="1" applyAlignment="1">
      <alignment horizontal="center" vertical="center" wrapText="1"/>
    </xf>
    <xf numFmtId="164" fontId="10" fillId="0" borderId="0" xfId="0" applyNumberFormat="1" applyFont="1" applyAlignment="1" applyProtection="1">
      <alignment vertical="center"/>
    </xf>
    <xf numFmtId="0" fontId="13" fillId="0" borderId="0" xfId="0" applyFont="1" applyAlignment="1">
      <alignment horizontal="center" vertical="center" wrapText="1"/>
    </xf>
    <xf numFmtId="4" fontId="3" fillId="3" borderId="1" xfId="5" applyNumberFormat="1" applyFont="1" applyFill="1" applyBorder="1" applyAlignment="1">
      <alignment horizontal="center" vertical="center" wrapText="1"/>
    </xf>
    <xf numFmtId="4" fontId="3" fillId="4" borderId="1" xfId="5"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4" fontId="3" fillId="0" borderId="1" xfId="0" applyNumberFormat="1" applyFont="1" applyFill="1" applyBorder="1" applyAlignment="1" applyProtection="1">
      <alignment horizontal="center" vertical="center"/>
    </xf>
    <xf numFmtId="164" fontId="3" fillId="2" borderId="2" xfId="0" applyNumberFormat="1" applyFont="1" applyFill="1" applyBorder="1" applyAlignment="1">
      <alignment horizontal="left" vertical="center" wrapText="1"/>
    </xf>
    <xf numFmtId="164" fontId="3" fillId="2" borderId="2" xfId="4" applyNumberFormat="1" applyFont="1" applyFill="1" applyBorder="1" applyAlignment="1">
      <alignment horizontal="center" vertical="center" wrapText="1"/>
    </xf>
    <xf numFmtId="4" fontId="3" fillId="2" borderId="2" xfId="0" applyNumberFormat="1" applyFont="1" applyFill="1" applyBorder="1" applyAlignment="1" applyProtection="1">
      <alignment horizontal="center" vertical="center"/>
    </xf>
    <xf numFmtId="165" fontId="3" fillId="2" borderId="2" xfId="0" applyNumberFormat="1" applyFont="1" applyFill="1" applyBorder="1" applyAlignment="1" applyProtection="1">
      <alignment horizontal="center" vertical="center"/>
    </xf>
    <xf numFmtId="164" fontId="3" fillId="0" borderId="1" xfId="4"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7" fillId="6" borderId="1" xfId="0" applyFont="1" applyFill="1" applyBorder="1" applyAlignment="1" applyProtection="1">
      <alignment horizontal="left" vertical="center" wrapText="1"/>
    </xf>
    <xf numFmtId="164" fontId="6" fillId="6" borderId="1" xfId="0" applyNumberFormat="1" applyFont="1" applyFill="1" applyBorder="1" applyAlignment="1" applyProtection="1">
      <alignment horizontal="center" vertical="center"/>
    </xf>
    <xf numFmtId="4" fontId="6" fillId="6" borderId="1" xfId="0" applyNumberFormat="1" applyFont="1" applyFill="1" applyBorder="1" applyAlignment="1" applyProtection="1">
      <alignment horizontal="center" vertical="center"/>
    </xf>
    <xf numFmtId="165" fontId="7" fillId="6" borderId="1" xfId="0" applyNumberFormat="1" applyFont="1" applyFill="1" applyBorder="1" applyAlignment="1" applyProtection="1">
      <alignment horizontal="center" vertical="center"/>
    </xf>
    <xf numFmtId="0" fontId="6" fillId="6" borderId="1" xfId="0" applyFont="1" applyFill="1" applyBorder="1" applyAlignment="1">
      <alignment horizontal="center" vertical="center" wrapText="1"/>
    </xf>
    <xf numFmtId="165" fontId="6" fillId="6" borderId="1" xfId="0" applyNumberFormat="1" applyFont="1" applyFill="1" applyBorder="1" applyAlignment="1" applyProtection="1">
      <alignment horizontal="center" vertical="center"/>
    </xf>
    <xf numFmtId="165" fontId="6" fillId="6" borderId="1" xfId="3"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xf>
    <xf numFmtId="0" fontId="6" fillId="6" borderId="3" xfId="0" applyFont="1" applyFill="1" applyBorder="1" applyAlignment="1">
      <alignment horizontal="center" vertical="center"/>
    </xf>
    <xf numFmtId="9" fontId="6" fillId="6" borderId="1" xfId="3" applyFont="1" applyFill="1" applyBorder="1" applyAlignment="1">
      <alignment horizontal="center" vertical="center" wrapText="1"/>
    </xf>
    <xf numFmtId="10" fontId="6" fillId="6" borderId="1" xfId="0" applyNumberFormat="1" applyFont="1" applyFill="1" applyBorder="1" applyAlignment="1">
      <alignment horizontal="center" vertical="center" wrapText="1"/>
    </xf>
    <xf numFmtId="0" fontId="6" fillId="6" borderId="2" xfId="0" applyNumberFormat="1" applyFont="1" applyFill="1" applyBorder="1" applyAlignment="1">
      <alignment horizontal="center" vertical="center" wrapText="1"/>
    </xf>
    <xf numFmtId="0" fontId="6" fillId="6" borderId="3" xfId="0" applyNumberFormat="1" applyFont="1" applyFill="1" applyBorder="1" applyAlignment="1">
      <alignment horizontal="center" vertical="center" wrapText="1"/>
    </xf>
    <xf numFmtId="0" fontId="6" fillId="6" borderId="4" xfId="0" applyNumberFormat="1" applyFont="1" applyFill="1" applyBorder="1" applyAlignment="1">
      <alignment horizontal="center" vertical="center" wrapText="1"/>
    </xf>
    <xf numFmtId="165" fontId="6" fillId="6" borderId="1" xfId="0" applyNumberFormat="1" applyFont="1" applyFill="1" applyBorder="1" applyAlignment="1" applyProtection="1">
      <alignment horizontal="center" vertical="center" readingOrder="1"/>
    </xf>
    <xf numFmtId="164" fontId="7" fillId="6" borderId="1" xfId="0" applyNumberFormat="1" applyFont="1" applyFill="1" applyBorder="1" applyAlignment="1" applyProtection="1">
      <alignment horizontal="center" vertical="center"/>
    </xf>
    <xf numFmtId="0" fontId="7" fillId="6" borderId="1" xfId="0" applyFont="1" applyFill="1" applyBorder="1" applyAlignment="1">
      <alignment horizontal="center" vertical="center" wrapText="1"/>
    </xf>
    <xf numFmtId="10" fontId="7" fillId="6" borderId="1" xfId="0" applyNumberFormat="1" applyFont="1" applyFill="1" applyBorder="1" applyAlignment="1">
      <alignment horizontal="center" vertical="center" wrapText="1"/>
    </xf>
    <xf numFmtId="4" fontId="6" fillId="6" borderId="1" xfId="0" applyNumberFormat="1" applyFont="1" applyFill="1" applyBorder="1" applyAlignment="1" applyProtection="1">
      <alignment horizontal="center" vertical="center" readingOrder="1"/>
    </xf>
    <xf numFmtId="3" fontId="6" fillId="6" borderId="1" xfId="0" applyNumberFormat="1" applyFont="1" applyFill="1" applyBorder="1" applyAlignment="1" applyProtection="1">
      <alignment horizontal="center" vertical="center"/>
    </xf>
    <xf numFmtId="3" fontId="6" fillId="6"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5" fontId="5" fillId="0" borderId="1" xfId="0" applyNumberFormat="1" applyFont="1" applyFill="1" applyBorder="1" applyAlignment="1" applyProtection="1">
      <alignment horizontal="center" vertical="center"/>
    </xf>
    <xf numFmtId="165" fontId="3" fillId="0" borderId="1" xfId="0" applyNumberFormat="1" applyFont="1" applyFill="1" applyBorder="1" applyAlignment="1" applyProtection="1">
      <alignment horizontal="center" vertical="center"/>
    </xf>
    <xf numFmtId="164" fontId="3" fillId="0" borderId="1" xfId="6"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3" fillId="0" borderId="4" xfId="0" applyFont="1" applyFill="1" applyBorder="1" applyAlignment="1" applyProtection="1">
      <alignment horizontal="center" vertical="top"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2" borderId="2" xfId="0" quotePrefix="1"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2" xfId="0" applyNumberFormat="1" applyFont="1" applyFill="1" applyBorder="1" applyAlignment="1" applyProtection="1">
      <alignment horizontal="center" vertical="center" wrapText="1"/>
      <protection locked="0"/>
    </xf>
    <xf numFmtId="0" fontId="3" fillId="4" borderId="3" xfId="0" applyNumberFormat="1"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2" xfId="0" applyNumberFormat="1" applyFont="1" applyFill="1" applyBorder="1" applyAlignment="1" applyProtection="1">
      <alignment horizontal="center" vertical="center" wrapText="1"/>
      <protection locked="0"/>
    </xf>
    <xf numFmtId="0" fontId="3" fillId="5" borderId="3"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3"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3" fontId="3" fillId="2" borderId="2" xfId="0" applyNumberFormat="1" applyFont="1" applyFill="1" applyBorder="1" applyAlignment="1" applyProtection="1">
      <alignment horizontal="center" vertical="center" wrapText="1"/>
      <protection locked="0"/>
    </xf>
    <xf numFmtId="3" fontId="3" fillId="2" borderId="3" xfId="0" applyNumberFormat="1" applyFont="1" applyFill="1" applyBorder="1" applyAlignment="1" applyProtection="1">
      <alignment horizontal="center" vertical="center" wrapText="1"/>
      <protection locked="0"/>
    </xf>
    <xf numFmtId="164" fontId="3" fillId="3" borderId="2" xfId="0" applyNumberFormat="1"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center" vertical="center"/>
      <protection locked="0"/>
    </xf>
    <xf numFmtId="164" fontId="3" fillId="2" borderId="2" xfId="0" applyNumberFormat="1" applyFont="1" applyFill="1" applyBorder="1" applyAlignment="1" applyProtection="1">
      <alignment horizontal="center" vertical="center" wrapText="1"/>
      <protection locked="0"/>
    </xf>
    <xf numFmtId="164" fontId="3" fillId="2" borderId="3" xfId="0" applyNumberFormat="1" applyFont="1" applyFill="1" applyBorder="1" applyAlignment="1" applyProtection="1">
      <alignment horizontal="center" vertical="center" wrapText="1"/>
      <protection locked="0"/>
    </xf>
    <xf numFmtId="0" fontId="3" fillId="3" borderId="2" xfId="0" applyNumberFormat="1" applyFont="1" applyFill="1" applyBorder="1" applyAlignment="1" applyProtection="1">
      <alignment horizontal="center" vertical="center" wrapText="1"/>
      <protection locked="0"/>
    </xf>
    <xf numFmtId="0" fontId="3" fillId="3" borderId="3" xfId="0" applyNumberFormat="1"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2" xfId="0" applyNumberFormat="1" applyFont="1" applyFill="1" applyBorder="1" applyAlignment="1" applyProtection="1">
      <alignment horizontal="center" vertical="center" wrapText="1"/>
      <protection locked="0"/>
    </xf>
    <xf numFmtId="164" fontId="3" fillId="3" borderId="3"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2" borderId="2" xfId="4" applyNumberFormat="1" applyFont="1" applyFill="1" applyBorder="1" applyAlignment="1" applyProtection="1">
      <alignment horizontal="center" vertical="top" wrapText="1"/>
      <protection locked="0"/>
    </xf>
    <xf numFmtId="0" fontId="3" fillId="2" borderId="3" xfId="4" applyNumberFormat="1" applyFont="1" applyFill="1" applyBorder="1" applyAlignment="1" applyProtection="1">
      <alignment horizontal="center" vertical="top" wrapText="1"/>
      <protection locked="0"/>
    </xf>
    <xf numFmtId="43" fontId="3" fillId="2" borderId="2" xfId="4" applyFont="1" applyFill="1" applyBorder="1" applyAlignment="1" applyProtection="1">
      <alignment horizontal="center" vertical="center" wrapText="1"/>
      <protection locked="0"/>
    </xf>
    <xf numFmtId="43" fontId="3" fillId="2" borderId="3" xfId="4" applyFont="1" applyFill="1" applyBorder="1" applyAlignment="1" applyProtection="1">
      <alignment horizontal="center" vertical="center" wrapText="1"/>
      <protection locked="0"/>
    </xf>
    <xf numFmtId="3" fontId="3" fillId="2" borderId="2" xfId="0" applyNumberFormat="1" applyFont="1" applyFill="1" applyBorder="1" applyAlignment="1" applyProtection="1">
      <alignment horizontal="center" vertical="top" wrapText="1"/>
      <protection locked="0"/>
    </xf>
    <xf numFmtId="3" fontId="3" fillId="2" borderId="3" xfId="0" applyNumberFormat="1" applyFont="1" applyFill="1" applyBorder="1" applyAlignment="1" applyProtection="1">
      <alignment horizontal="center" vertical="top" wrapText="1"/>
      <protection locked="0"/>
    </xf>
    <xf numFmtId="3" fontId="3" fillId="5" borderId="2" xfId="0" applyNumberFormat="1" applyFont="1" applyFill="1" applyBorder="1" applyAlignment="1" applyProtection="1">
      <alignment horizontal="center" vertical="top" wrapText="1"/>
      <protection locked="0"/>
    </xf>
    <xf numFmtId="3" fontId="3" fillId="5" borderId="3" xfId="0" applyNumberFormat="1" applyFont="1" applyFill="1" applyBorder="1" applyAlignment="1" applyProtection="1">
      <alignment horizontal="center" vertical="top" wrapText="1"/>
      <protection locked="0"/>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3" fontId="3" fillId="5" borderId="2" xfId="0" applyNumberFormat="1" applyFont="1" applyFill="1" applyBorder="1" applyAlignment="1" applyProtection="1">
      <alignment horizontal="center" vertical="center" wrapText="1"/>
      <protection locked="0"/>
    </xf>
    <xf numFmtId="3" fontId="3" fillId="5" borderId="3"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14" fillId="5"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4" xfId="0" applyFont="1" applyFill="1" applyBorder="1" applyAlignment="1">
      <alignment horizontal="center" vertical="top" wrapText="1"/>
    </xf>
    <xf numFmtId="49" fontId="3" fillId="5" borderId="2" xfId="0" applyNumberFormat="1" applyFont="1" applyFill="1" applyBorder="1" applyAlignment="1" applyProtection="1">
      <alignment horizontal="center" vertical="center" wrapText="1"/>
      <protection locked="0"/>
    </xf>
    <xf numFmtId="49" fontId="3" fillId="5" borderId="3" xfId="0" applyNumberFormat="1" applyFont="1" applyFill="1" applyBorder="1" applyAlignment="1" applyProtection="1">
      <alignment horizontal="center" vertical="center" wrapText="1"/>
      <protection locked="0"/>
    </xf>
    <xf numFmtId="165" fontId="3" fillId="5" borderId="2" xfId="0" applyNumberFormat="1" applyFont="1" applyFill="1" applyBorder="1" applyAlignment="1" applyProtection="1">
      <alignment horizontal="center" vertical="center" wrapText="1"/>
    </xf>
    <xf numFmtId="165" fontId="3" fillId="5" borderId="3" xfId="0" applyNumberFormat="1" applyFont="1" applyFill="1" applyBorder="1" applyAlignment="1" applyProtection="1">
      <alignment horizontal="center" vertical="center" wrapText="1"/>
    </xf>
    <xf numFmtId="165" fontId="3" fillId="5" borderId="4" xfId="0" applyNumberFormat="1" applyFont="1" applyFill="1" applyBorder="1" applyAlignment="1" applyProtection="1">
      <alignment horizontal="center" vertical="center" wrapText="1"/>
    </xf>
    <xf numFmtId="165" fontId="3" fillId="5" borderId="2" xfId="0" applyNumberFormat="1" applyFont="1" applyFill="1" applyBorder="1" applyAlignment="1" applyProtection="1">
      <alignment horizontal="center" vertical="center"/>
    </xf>
    <xf numFmtId="165" fontId="3" fillId="5" borderId="3" xfId="0" applyNumberFormat="1" applyFont="1" applyFill="1" applyBorder="1" applyAlignment="1" applyProtection="1">
      <alignment horizontal="center" vertical="center"/>
    </xf>
    <xf numFmtId="165" fontId="3" fillId="5" borderId="4" xfId="0" applyNumberFormat="1" applyFont="1" applyFill="1" applyBorder="1" applyAlignment="1" applyProtection="1">
      <alignment horizontal="center" vertical="center"/>
    </xf>
    <xf numFmtId="0" fontId="3" fillId="5" borderId="4" xfId="0" applyFont="1" applyFill="1" applyBorder="1" applyAlignment="1" applyProtection="1">
      <alignment horizontal="center" vertical="center" wrapText="1"/>
      <protection locked="0"/>
    </xf>
    <xf numFmtId="165" fontId="3" fillId="0" borderId="2" xfId="0" applyNumberFormat="1" applyFont="1" applyFill="1" applyBorder="1" applyAlignment="1" applyProtection="1">
      <alignment horizontal="center" vertical="center" wrapText="1"/>
    </xf>
    <xf numFmtId="165" fontId="3" fillId="0" borderId="3" xfId="0" applyNumberFormat="1" applyFont="1" applyFill="1" applyBorder="1" applyAlignment="1" applyProtection="1">
      <alignment horizontal="center" vertical="center" wrapText="1"/>
    </xf>
    <xf numFmtId="165" fontId="3" fillId="0" borderId="4" xfId="0" applyNumberFormat="1" applyFont="1" applyFill="1" applyBorder="1" applyAlignment="1" applyProtection="1">
      <alignment horizontal="center" vertical="center" wrapText="1"/>
    </xf>
    <xf numFmtId="165" fontId="3" fillId="2" borderId="2" xfId="0" applyNumberFormat="1" applyFont="1" applyFill="1" applyBorder="1" applyAlignment="1" applyProtection="1">
      <alignment horizontal="center" vertical="center"/>
    </xf>
    <xf numFmtId="165" fontId="3" fillId="2" borderId="3" xfId="0" applyNumberFormat="1" applyFont="1" applyFill="1" applyBorder="1" applyAlignment="1" applyProtection="1">
      <alignment horizontal="center" vertical="center"/>
    </xf>
    <xf numFmtId="165" fontId="3" fillId="2" borderId="4" xfId="0" applyNumberFormat="1" applyFont="1" applyFill="1" applyBorder="1" applyAlignment="1" applyProtection="1">
      <alignment horizontal="center" vertical="center"/>
    </xf>
    <xf numFmtId="165" fontId="3" fillId="2" borderId="2" xfId="0" applyNumberFormat="1" applyFont="1" applyFill="1" applyBorder="1" applyAlignment="1" applyProtection="1">
      <alignment horizontal="center" vertical="center" wrapText="1"/>
    </xf>
    <xf numFmtId="165" fontId="3" fillId="2" borderId="3" xfId="0" applyNumberFormat="1" applyFont="1" applyFill="1" applyBorder="1" applyAlignment="1" applyProtection="1">
      <alignment horizontal="center" vertical="center" wrapText="1"/>
    </xf>
    <xf numFmtId="165" fontId="3" fillId="2" borderId="4" xfId="0" applyNumberFormat="1" applyFont="1" applyFill="1" applyBorder="1" applyAlignment="1" applyProtection="1">
      <alignment horizontal="center" vertical="center" wrapText="1"/>
    </xf>
    <xf numFmtId="165" fontId="3" fillId="7" borderId="2" xfId="0" applyNumberFormat="1" applyFont="1" applyFill="1" applyBorder="1" applyAlignment="1" applyProtection="1">
      <alignment horizontal="center" vertical="center"/>
    </xf>
    <xf numFmtId="165" fontId="3" fillId="7" borderId="3" xfId="0" applyNumberFormat="1" applyFont="1" applyFill="1" applyBorder="1" applyAlignment="1" applyProtection="1">
      <alignment horizontal="center" vertical="center"/>
    </xf>
    <xf numFmtId="165" fontId="3" fillId="7" borderId="4"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0" fontId="3" fillId="2" borderId="2" xfId="0" applyFont="1" applyFill="1" applyBorder="1" applyAlignment="1" applyProtection="1">
      <alignment horizontal="center" vertical="top" wrapText="1"/>
      <protection locked="0"/>
    </xf>
    <xf numFmtId="0" fontId="3" fillId="2" borderId="3"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165" fontId="3" fillId="0" borderId="2" xfId="0" applyNumberFormat="1" applyFont="1" applyFill="1" applyBorder="1" applyAlignment="1" applyProtection="1">
      <alignment horizontal="center" vertical="center"/>
    </xf>
    <xf numFmtId="165" fontId="3" fillId="0" borderId="3" xfId="0" applyNumberFormat="1" applyFont="1" applyFill="1" applyBorder="1" applyAlignment="1" applyProtection="1">
      <alignment horizontal="center" vertical="center"/>
    </xf>
    <xf numFmtId="165" fontId="3" fillId="0" borderId="4"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14" fontId="3" fillId="4" borderId="1" xfId="0" applyNumberFormat="1" applyFont="1" applyFill="1" applyBorder="1" applyAlignment="1" applyProtection="1">
      <alignment horizontal="center" vertical="center" wrapText="1"/>
      <protection locked="0"/>
    </xf>
    <xf numFmtId="0" fontId="3" fillId="5" borderId="1"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0" fontId="3" fillId="4" borderId="1" xfId="0" applyNumberFormat="1"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top" wrapText="1"/>
      <protection locked="0"/>
    </xf>
    <xf numFmtId="0" fontId="3" fillId="5" borderId="3"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49" fontId="3" fillId="2" borderId="3"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horizontal="center" vertical="top" wrapText="1"/>
      <protection locked="0"/>
    </xf>
    <xf numFmtId="0" fontId="3" fillId="2" borderId="3" xfId="0" applyNumberFormat="1" applyFont="1" applyFill="1" applyBorder="1" applyAlignment="1" applyProtection="1">
      <alignment horizontal="center" vertical="top" wrapText="1"/>
      <protection locked="0"/>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 xfId="0" applyFont="1" applyFill="1" applyBorder="1" applyAlignment="1" applyProtection="1">
      <alignment horizontal="center" vertical="top" wrapText="1"/>
    </xf>
    <xf numFmtId="0" fontId="3" fillId="2" borderId="3" xfId="0" applyFont="1" applyFill="1" applyBorder="1" applyAlignment="1" applyProtection="1">
      <alignment horizontal="center" vertical="top" wrapText="1"/>
    </xf>
    <xf numFmtId="0" fontId="3" fillId="2" borderId="4" xfId="0" applyFont="1" applyFill="1" applyBorder="1" applyAlignment="1" applyProtection="1">
      <alignment horizontal="center" vertical="top" wrapText="1"/>
    </xf>
    <xf numFmtId="0" fontId="15" fillId="0" borderId="2"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6" borderId="3"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1"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6" fillId="6" borderId="1"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6" fillId="6" borderId="1" xfId="0" applyFont="1" applyFill="1" applyBorder="1" applyAlignment="1">
      <alignment horizontal="center" vertical="center" wrapText="1"/>
    </xf>
    <xf numFmtId="0" fontId="16" fillId="0" borderId="0" xfId="0" applyNumberFormat="1" applyFont="1" applyAlignment="1" applyProtection="1">
      <alignment horizontal="center" vertical="center"/>
    </xf>
    <xf numFmtId="0" fontId="10" fillId="0" borderId="0" xfId="0" applyFont="1" applyAlignment="1" applyProtection="1">
      <alignment horizontal="left" vertical="center" wrapText="1"/>
    </xf>
    <xf numFmtId="0"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5" fontId="1" fillId="2" borderId="1" xfId="0" applyNumberFormat="1" applyFont="1" applyFill="1" applyBorder="1" applyAlignment="1" applyProtection="1">
      <alignment horizontal="center" vertical="center" wrapText="1"/>
    </xf>
    <xf numFmtId="165" fontId="1" fillId="2" borderId="2" xfId="0" applyNumberFormat="1" applyFont="1" applyFill="1" applyBorder="1" applyAlignment="1" applyProtection="1">
      <alignment horizontal="center" vertical="center" wrapText="1"/>
    </xf>
    <xf numFmtId="165" fontId="1" fillId="2" borderId="4"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pplyProtection="1">
      <alignment horizontal="center" vertical="center"/>
    </xf>
    <xf numFmtId="0" fontId="10" fillId="0" borderId="11" xfId="0" applyFont="1" applyBorder="1" applyAlignment="1" applyProtection="1">
      <alignment horizontal="center" vertical="center"/>
    </xf>
  </cellXfs>
  <cellStyles count="9">
    <cellStyle name="Обычный" xfId="0" builtinId="0"/>
    <cellStyle name="Обычный 2" xfId="1"/>
    <cellStyle name="Обычный 2 2" xfId="2"/>
    <cellStyle name="Процентный" xfId="3" builtinId="5"/>
    <cellStyle name="Финансовый" xfId="4" builtinId="3"/>
    <cellStyle name="Финансовый 2" xfId="5"/>
    <cellStyle name="Финансовый 2 2" xfId="6"/>
    <cellStyle name="Финансовый 2 7" xfId="7"/>
    <cellStyle name="Финансовый 7" xfId="8"/>
  </cellStyles>
  <dxfs count="57">
    <dxf>
      <font>
        <b/>
        <i val="0"/>
        <condense val="0"/>
        <extend val="0"/>
        <outline val="0"/>
        <shadow val="0"/>
      </font>
    </dxf>
    <dxf>
      <font>
        <b/>
        <i val="0"/>
        <condense val="0"/>
        <extend val="0"/>
        <outline val="0"/>
        <shadow val="0"/>
      </font>
    </dxf>
    <dxf>
      <font>
        <b/>
        <i val="0"/>
        <condense val="0"/>
        <extend val="0"/>
        <outline val="0"/>
        <shadow val="0"/>
      </font>
    </dxf>
    <dxf>
      <fill>
        <patternFill>
          <bgColor rgb="FFFF0000"/>
        </patternFill>
      </fill>
    </dxf>
    <dxf>
      <fill>
        <patternFill>
          <bgColor rgb="FFFF0000"/>
        </patternFill>
      </fill>
    </dxf>
    <dxf>
      <fill>
        <patternFill>
          <bgColor rgb="FFFF0000"/>
        </patternFill>
      </fill>
    </dxf>
    <dxf>
      <font>
        <b/>
        <i val="0"/>
        <condense val="0"/>
        <extend val="0"/>
        <outline val="0"/>
        <shadow val="0"/>
      </font>
    </dxf>
    <dxf>
      <font>
        <b/>
        <i val="0"/>
        <condense val="0"/>
        <extend val="0"/>
        <outline val="0"/>
        <shadow val="0"/>
      </font>
    </dxf>
    <dxf>
      <font>
        <b/>
        <i val="0"/>
        <condense val="0"/>
        <extend val="0"/>
        <outline val="0"/>
        <shadow val="0"/>
      </font>
    </dxf>
    <dxf>
      <font>
        <b/>
        <i val="0"/>
        <condense val="0"/>
        <extend val="0"/>
        <outline val="0"/>
        <shadow val="0"/>
      </font>
    </dxf>
    <dxf>
      <font>
        <b/>
        <i val="0"/>
        <condense val="0"/>
        <extend val="0"/>
        <outline val="0"/>
        <shadow val="0"/>
      </font>
    </dxf>
    <dxf>
      <font>
        <b/>
        <i val="0"/>
        <condense val="0"/>
        <extend val="0"/>
        <outline val="0"/>
        <shadow val="0"/>
      </font>
    </dxf>
    <dxf>
      <font>
        <b/>
        <i val="0"/>
        <condense val="0"/>
        <extend val="0"/>
        <outline val="0"/>
        <shadow val="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outline val="0"/>
        <shadow val="0"/>
      </font>
    </dxf>
    <dxf>
      <font>
        <b/>
        <i val="0"/>
        <condense val="0"/>
        <extend val="0"/>
        <outline val="0"/>
        <shadow val="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outline val="0"/>
        <shadow val="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pageSetUpPr autoPageBreaks="0"/>
  </sheetPr>
  <dimension ref="A1:P1060"/>
  <sheetViews>
    <sheetView tabSelected="1" zoomScale="80" zoomScaleNormal="80" workbookViewId="0">
      <pane xSplit="2" ySplit="5" topLeftCell="C6" activePane="bottomRight" state="frozen"/>
      <selection pane="topRight" activeCell="C1" sqref="C1"/>
      <selection pane="bottomLeft" activeCell="A6" sqref="A6"/>
      <selection pane="bottomRight" activeCell="I692" sqref="I692:I696"/>
    </sheetView>
  </sheetViews>
  <sheetFormatPr defaultColWidth="10.6640625" defaultRowHeight="12"/>
  <cols>
    <col min="1" max="1" width="7.83203125" style="5" customWidth="1"/>
    <col min="2" max="2" width="55.83203125" style="6" customWidth="1"/>
    <col min="3" max="3" width="14.83203125" style="7" customWidth="1"/>
    <col min="4" max="4" width="20" style="8" customWidth="1"/>
    <col min="5" max="5" width="21.1640625" style="20" customWidth="1"/>
    <col min="6" max="6" width="18.83203125" style="9" customWidth="1"/>
    <col min="7" max="7" width="14.83203125" style="10" customWidth="1"/>
    <col min="8" max="8" width="50.83203125" style="11" customWidth="1"/>
    <col min="9" max="9" width="44" style="11" customWidth="1"/>
    <col min="10" max="10" width="12" style="11" customWidth="1"/>
    <col min="11" max="11" width="50.83203125" style="12" customWidth="1"/>
    <col min="12" max="12" width="41.33203125" style="6" customWidth="1"/>
    <col min="13" max="13" width="13.6640625" style="1" bestFit="1" customWidth="1"/>
    <col min="14" max="16384" width="10.6640625" style="1"/>
  </cols>
  <sheetData>
    <row r="1" spans="1:13" ht="12.75">
      <c r="B1" s="13"/>
      <c r="E1" s="19"/>
      <c r="F1" s="14"/>
      <c r="G1" s="15"/>
      <c r="H1" s="16"/>
      <c r="I1" s="17"/>
      <c r="J1" s="16"/>
      <c r="K1" s="16"/>
      <c r="L1" s="62"/>
    </row>
    <row r="2" spans="1:13" ht="12" customHeight="1">
      <c r="A2" s="279" t="s">
        <v>684</v>
      </c>
      <c r="B2" s="280"/>
      <c r="C2" s="279"/>
      <c r="D2" s="279"/>
      <c r="E2" s="279"/>
      <c r="F2" s="279"/>
      <c r="G2" s="279"/>
      <c r="H2" s="279"/>
      <c r="I2" s="279"/>
      <c r="J2" s="279"/>
      <c r="K2" s="279"/>
      <c r="L2" s="279"/>
    </row>
    <row r="3" spans="1:13" ht="12" customHeight="1"/>
    <row r="4" spans="1:13" ht="12" customHeight="1">
      <c r="A4" s="281" t="s">
        <v>0</v>
      </c>
      <c r="B4" s="261" t="s">
        <v>1</v>
      </c>
      <c r="C4" s="282" t="s">
        <v>2</v>
      </c>
      <c r="D4" s="282"/>
      <c r="E4" s="282"/>
      <c r="F4" s="282"/>
      <c r="G4" s="283" t="s">
        <v>3</v>
      </c>
      <c r="H4" s="284" t="s">
        <v>4</v>
      </c>
      <c r="I4" s="264" t="s">
        <v>5</v>
      </c>
      <c r="J4" s="264" t="s">
        <v>6</v>
      </c>
      <c r="K4" s="264" t="s">
        <v>7</v>
      </c>
      <c r="L4" s="261" t="s">
        <v>8</v>
      </c>
    </row>
    <row r="5" spans="1:13" ht="48" customHeight="1">
      <c r="A5" s="281"/>
      <c r="B5" s="263"/>
      <c r="C5" s="21" t="s">
        <v>9</v>
      </c>
      <c r="D5" s="22" t="s">
        <v>10</v>
      </c>
      <c r="E5" s="23" t="s">
        <v>11</v>
      </c>
      <c r="F5" s="24" t="s">
        <v>12</v>
      </c>
      <c r="G5" s="283"/>
      <c r="H5" s="285"/>
      <c r="I5" s="266"/>
      <c r="J5" s="266"/>
      <c r="K5" s="266"/>
      <c r="L5" s="263"/>
    </row>
    <row r="6" spans="1:13" s="2" customFormat="1" ht="17.100000000000001" customHeight="1">
      <c r="A6" s="25">
        <v>1</v>
      </c>
      <c r="B6" s="25">
        <v>2</v>
      </c>
      <c r="C6" s="25">
        <v>3</v>
      </c>
      <c r="D6" s="25">
        <v>4</v>
      </c>
      <c r="E6" s="26">
        <v>5</v>
      </c>
      <c r="F6" s="25">
        <v>6</v>
      </c>
      <c r="G6" s="25">
        <v>7</v>
      </c>
      <c r="H6" s="25">
        <v>8</v>
      </c>
      <c r="I6" s="25">
        <v>9</v>
      </c>
      <c r="J6" s="25">
        <v>10</v>
      </c>
      <c r="K6" s="25">
        <v>11</v>
      </c>
      <c r="L6" s="25">
        <v>12</v>
      </c>
    </row>
    <row r="7" spans="1:13" ht="18.95" customHeight="1">
      <c r="A7" s="269"/>
      <c r="B7" s="275" t="s">
        <v>13</v>
      </c>
      <c r="C7" s="78" t="s">
        <v>14</v>
      </c>
      <c r="D7" s="79">
        <f>SUM(D8:D11)</f>
        <v>40015000.5</v>
      </c>
      <c r="E7" s="79">
        <f>SUM(E8:E11)</f>
        <v>17802214.20592</v>
      </c>
      <c r="F7" s="79">
        <f>SUM(F8:F11)</f>
        <v>17473320.011420004</v>
      </c>
      <c r="G7" s="81">
        <f>IF(D7&lt;&gt;0,F7/D7,0)</f>
        <v>0.43666924386068678</v>
      </c>
      <c r="H7" s="274"/>
      <c r="I7" s="82" t="s">
        <v>15</v>
      </c>
      <c r="J7" s="97">
        <f>SUM(J8:J10)</f>
        <v>123</v>
      </c>
      <c r="K7" s="278" t="s">
        <v>16</v>
      </c>
      <c r="L7" s="276"/>
    </row>
    <row r="8" spans="1:13" ht="18.95" customHeight="1">
      <c r="A8" s="269"/>
      <c r="B8" s="270"/>
      <c r="C8" s="78" t="s">
        <v>17</v>
      </c>
      <c r="D8" s="79">
        <f>D13+D18+D23+D28</f>
        <v>19022299.899999999</v>
      </c>
      <c r="E8" s="79">
        <f>E13+E18+E23+E28</f>
        <v>7809853.9732799986</v>
      </c>
      <c r="F8" s="79">
        <f>F13+F18+F23+F28</f>
        <v>7503834.8866700018</v>
      </c>
      <c r="G8" s="83">
        <f>IF(D8&lt;&gt;0,F8/D8,0)</f>
        <v>0.39447569043268016</v>
      </c>
      <c r="H8" s="272"/>
      <c r="I8" s="82" t="s">
        <v>18</v>
      </c>
      <c r="J8" s="97">
        <f>COUNTIF($J$47:$J$1026,"да")</f>
        <v>3</v>
      </c>
      <c r="K8" s="278"/>
      <c r="L8" s="276"/>
    </row>
    <row r="9" spans="1:13" ht="18.95" customHeight="1">
      <c r="A9" s="269"/>
      <c r="B9" s="270"/>
      <c r="C9" s="78" t="s">
        <v>19</v>
      </c>
      <c r="D9" s="79">
        <f t="shared" ref="D9:F11" si="0">D14+D19+D24+D29</f>
        <v>1784712.6</v>
      </c>
      <c r="E9" s="79">
        <f t="shared" si="0"/>
        <v>814794.16264</v>
      </c>
      <c r="F9" s="79">
        <f t="shared" si="0"/>
        <v>791919.05475000013</v>
      </c>
      <c r="G9" s="83">
        <f>IF(D9&lt;&gt;0,F9/D9,0)</f>
        <v>0.44372357473690727</v>
      </c>
      <c r="H9" s="272"/>
      <c r="I9" s="82" t="s">
        <v>20</v>
      </c>
      <c r="J9" s="97">
        <f>COUNTIF($J$47:$J$1026,"частично")</f>
        <v>58</v>
      </c>
      <c r="K9" s="278"/>
      <c r="L9" s="276"/>
    </row>
    <row r="10" spans="1:13" ht="18.95" customHeight="1">
      <c r="A10" s="269"/>
      <c r="B10" s="270"/>
      <c r="C10" s="78" t="s">
        <v>21</v>
      </c>
      <c r="D10" s="79">
        <f t="shared" si="0"/>
        <v>0</v>
      </c>
      <c r="E10" s="79">
        <f t="shared" si="0"/>
        <v>0</v>
      </c>
      <c r="F10" s="79">
        <f t="shared" si="0"/>
        <v>0</v>
      </c>
      <c r="G10" s="83">
        <f>IF(D10&lt;&gt;0,F10/D10,0)</f>
        <v>0</v>
      </c>
      <c r="H10" s="272"/>
      <c r="I10" s="82" t="s">
        <v>22</v>
      </c>
      <c r="J10" s="97">
        <f>COUNTIF($J$47:$J$1026,"нет")</f>
        <v>62</v>
      </c>
      <c r="K10" s="278"/>
      <c r="L10" s="276"/>
    </row>
    <row r="11" spans="1:13" ht="60" customHeight="1">
      <c r="A11" s="269"/>
      <c r="B11" s="271"/>
      <c r="C11" s="78" t="s">
        <v>23</v>
      </c>
      <c r="D11" s="79">
        <f t="shared" si="0"/>
        <v>19207988</v>
      </c>
      <c r="E11" s="79">
        <f t="shared" si="0"/>
        <v>9177566.0700000003</v>
      </c>
      <c r="F11" s="79">
        <f t="shared" si="0"/>
        <v>9177566.0700000003</v>
      </c>
      <c r="G11" s="83">
        <f>IF(D11&lt;&gt;0,F11/D11,0)</f>
        <v>0.47779944833368287</v>
      </c>
      <c r="H11" s="273"/>
      <c r="I11" s="82" t="s">
        <v>24</v>
      </c>
      <c r="J11" s="84">
        <f>IF(J7=0,0,(J8+J9*0.5)/J7)</f>
        <v>0.26016260162601629</v>
      </c>
      <c r="K11" s="278"/>
      <c r="L11" s="276"/>
    </row>
    <row r="12" spans="1:13" ht="18.95" customHeight="1">
      <c r="A12" s="275"/>
      <c r="B12" s="275" t="s">
        <v>25</v>
      </c>
      <c r="C12" s="78" t="s">
        <v>14</v>
      </c>
      <c r="D12" s="96">
        <f>SUM(D13:D16)</f>
        <v>37244791.799999997</v>
      </c>
      <c r="E12" s="96">
        <f>SUM(E13:E16)</f>
        <v>16994788.383249998</v>
      </c>
      <c r="F12" s="96">
        <f>SUM(F13:F16)</f>
        <v>16661379.039980002</v>
      </c>
      <c r="G12" s="92">
        <f t="shared" ref="G12:G86" si="1">IF(D12&lt;&gt;0,F12/D12,0)</f>
        <v>0.44734789039631584</v>
      </c>
      <c r="H12" s="85"/>
      <c r="I12" s="82" t="s">
        <v>15</v>
      </c>
      <c r="J12" s="98">
        <f>SUM(J13:J15)</f>
        <v>110</v>
      </c>
      <c r="K12" s="275" t="s">
        <v>686</v>
      </c>
      <c r="L12" s="277"/>
      <c r="M12" s="61"/>
    </row>
    <row r="13" spans="1:13" ht="18.95" customHeight="1">
      <c r="A13" s="270"/>
      <c r="B13" s="270"/>
      <c r="C13" s="78" t="s">
        <v>17</v>
      </c>
      <c r="D13" s="96">
        <f>D38+D68+D88+D148+D183+D198+D208+D218+D428+D478+D488+D503+D508+D513+D518+D528+D553+D623+D633+D643+D648+D783+D903</f>
        <v>17075389.299999997</v>
      </c>
      <c r="E13" s="96">
        <f>E38+E68+E88+E148+E183+E198+E208+E218+E428+E478+E488+E503+E508+E513+E518+E528+E553+E623+E633+E643+E648+E783+E903</f>
        <v>7453975.2466099989</v>
      </c>
      <c r="F13" s="96">
        <f>F38+F68+F88+F148+F183+F198+F208+F218+F428+F478+F488+F503+F508+F513+F518+F528+F553+F623+F633+F643+F648+F783+F903</f>
        <v>7143441.0112300012</v>
      </c>
      <c r="G13" s="92">
        <f t="shared" si="1"/>
        <v>0.41834718293831241</v>
      </c>
      <c r="H13" s="86"/>
      <c r="I13" s="82" t="s">
        <v>18</v>
      </c>
      <c r="J13" s="98">
        <f>J8-J18-J23-J28</f>
        <v>2</v>
      </c>
      <c r="K13" s="270"/>
      <c r="L13" s="267"/>
      <c r="M13" s="61"/>
    </row>
    <row r="14" spans="1:13" ht="18.95" customHeight="1">
      <c r="A14" s="270"/>
      <c r="B14" s="270"/>
      <c r="C14" s="78" t="s">
        <v>19</v>
      </c>
      <c r="D14" s="96">
        <f t="shared" ref="D14:F16" si="2">D39+D69+D89+D149+D184+D199+D209+D219+D429+D479+D489+D504+D509+D514+D519+D529+D554+D624+D634+D644+D649+D784+D904</f>
        <v>961414.5</v>
      </c>
      <c r="E14" s="96">
        <f t="shared" si="2"/>
        <v>363247.06664000003</v>
      </c>
      <c r="F14" s="96">
        <f t="shared" si="2"/>
        <v>340371.95875000011</v>
      </c>
      <c r="G14" s="92">
        <f t="shared" si="1"/>
        <v>0.35403247896718854</v>
      </c>
      <c r="H14" s="86"/>
      <c r="I14" s="82" t="s">
        <v>20</v>
      </c>
      <c r="J14" s="98">
        <f>J9-J19-J24-J29</f>
        <v>54</v>
      </c>
      <c r="K14" s="270"/>
      <c r="L14" s="267"/>
      <c r="M14" s="61"/>
    </row>
    <row r="15" spans="1:13" ht="18.95" customHeight="1">
      <c r="A15" s="270"/>
      <c r="B15" s="270"/>
      <c r="C15" s="78" t="s">
        <v>21</v>
      </c>
      <c r="D15" s="96">
        <f t="shared" si="2"/>
        <v>0</v>
      </c>
      <c r="E15" s="96">
        <f t="shared" si="2"/>
        <v>0</v>
      </c>
      <c r="F15" s="96">
        <f t="shared" si="2"/>
        <v>0</v>
      </c>
      <c r="G15" s="92">
        <f t="shared" si="1"/>
        <v>0</v>
      </c>
      <c r="H15" s="86"/>
      <c r="I15" s="82" t="s">
        <v>22</v>
      </c>
      <c r="J15" s="98">
        <f>J10-J20-J25-J30</f>
        <v>54</v>
      </c>
      <c r="K15" s="270"/>
      <c r="L15" s="267"/>
      <c r="M15" s="61"/>
    </row>
    <row r="16" spans="1:13" ht="18.95" customHeight="1">
      <c r="A16" s="271"/>
      <c r="B16" s="271"/>
      <c r="C16" s="78" t="s">
        <v>23</v>
      </c>
      <c r="D16" s="96">
        <f t="shared" si="2"/>
        <v>19207988</v>
      </c>
      <c r="E16" s="96">
        <f t="shared" si="2"/>
        <v>9177566.0700000003</v>
      </c>
      <c r="F16" s="96">
        <f t="shared" si="2"/>
        <v>9177566.0700000003</v>
      </c>
      <c r="G16" s="92">
        <f t="shared" si="1"/>
        <v>0.47779944833368287</v>
      </c>
      <c r="H16" s="86"/>
      <c r="I16" s="82" t="s">
        <v>24</v>
      </c>
      <c r="J16" s="87">
        <f>IF(J12=0,0,(J13+J14*0.5)/J12)</f>
        <v>0.26363636363636361</v>
      </c>
      <c r="K16" s="271"/>
      <c r="L16" s="268"/>
      <c r="M16" s="61"/>
    </row>
    <row r="17" spans="1:13" ht="18.95" customHeight="1">
      <c r="A17" s="269"/>
      <c r="B17" s="275" t="s">
        <v>685</v>
      </c>
      <c r="C17" s="78" t="s">
        <v>14</v>
      </c>
      <c r="D17" s="93">
        <f>SUM(D18:D21)</f>
        <v>477</v>
      </c>
      <c r="E17" s="93">
        <f>SUM(E18:E21)</f>
        <v>145.94999999999999</v>
      </c>
      <c r="F17" s="93">
        <f>SUM(F18:F21)</f>
        <v>145.94999999999999</v>
      </c>
      <c r="G17" s="83">
        <f t="shared" si="1"/>
        <v>0.30597484276729559</v>
      </c>
      <c r="H17" s="274" t="s">
        <v>26</v>
      </c>
      <c r="I17" s="82" t="s">
        <v>15</v>
      </c>
      <c r="J17" s="82">
        <v>1</v>
      </c>
      <c r="K17" s="275" t="s">
        <v>27</v>
      </c>
      <c r="L17" s="277"/>
      <c r="M17" s="61"/>
    </row>
    <row r="18" spans="1:13" ht="18.95" customHeight="1">
      <c r="A18" s="269"/>
      <c r="B18" s="270"/>
      <c r="C18" s="78" t="s">
        <v>17</v>
      </c>
      <c r="D18" s="79">
        <f>D83</f>
        <v>477</v>
      </c>
      <c r="E18" s="79">
        <f>E83</f>
        <v>145.94999999999999</v>
      </c>
      <c r="F18" s="79">
        <f>F83</f>
        <v>145.94999999999999</v>
      </c>
      <c r="G18" s="83">
        <f t="shared" si="1"/>
        <v>0.30597484276729559</v>
      </c>
      <c r="H18" s="272"/>
      <c r="I18" s="82" t="s">
        <v>18</v>
      </c>
      <c r="J18" s="82">
        <v>0</v>
      </c>
      <c r="K18" s="270"/>
      <c r="L18" s="267"/>
      <c r="M18" s="61"/>
    </row>
    <row r="19" spans="1:13" ht="18.95" customHeight="1">
      <c r="A19" s="269"/>
      <c r="B19" s="270"/>
      <c r="C19" s="78" t="s">
        <v>19</v>
      </c>
      <c r="D19" s="79">
        <v>0</v>
      </c>
      <c r="E19" s="80">
        <v>0</v>
      </c>
      <c r="F19" s="80">
        <v>0</v>
      </c>
      <c r="G19" s="83">
        <f t="shared" si="1"/>
        <v>0</v>
      </c>
      <c r="H19" s="272"/>
      <c r="I19" s="82" t="s">
        <v>20</v>
      </c>
      <c r="J19" s="82">
        <v>1</v>
      </c>
      <c r="K19" s="270"/>
      <c r="L19" s="267"/>
      <c r="M19" s="61"/>
    </row>
    <row r="20" spans="1:13" ht="18.95" customHeight="1">
      <c r="A20" s="269"/>
      <c r="B20" s="270"/>
      <c r="C20" s="78" t="s">
        <v>21</v>
      </c>
      <c r="D20" s="79">
        <v>0</v>
      </c>
      <c r="E20" s="80">
        <v>0</v>
      </c>
      <c r="F20" s="80">
        <v>0</v>
      </c>
      <c r="G20" s="83">
        <f t="shared" si="1"/>
        <v>0</v>
      </c>
      <c r="H20" s="272"/>
      <c r="I20" s="82" t="s">
        <v>22</v>
      </c>
      <c r="J20" s="82">
        <v>0</v>
      </c>
      <c r="K20" s="270"/>
      <c r="L20" s="267"/>
      <c r="M20" s="61"/>
    </row>
    <row r="21" spans="1:13" ht="18.95" customHeight="1">
      <c r="A21" s="269"/>
      <c r="B21" s="271"/>
      <c r="C21" s="78" t="s">
        <v>23</v>
      </c>
      <c r="D21" s="79">
        <v>0</v>
      </c>
      <c r="E21" s="80">
        <v>0</v>
      </c>
      <c r="F21" s="80">
        <v>0</v>
      </c>
      <c r="G21" s="83">
        <f t="shared" si="1"/>
        <v>0</v>
      </c>
      <c r="H21" s="273"/>
      <c r="I21" s="94" t="s">
        <v>24</v>
      </c>
      <c r="J21" s="95">
        <f>IF(J17=0,0,(J18+J19*0.5)/J17)</f>
        <v>0.5</v>
      </c>
      <c r="K21" s="271"/>
      <c r="L21" s="268"/>
      <c r="M21" s="61"/>
    </row>
    <row r="22" spans="1:13" ht="18.95" customHeight="1">
      <c r="A22" s="269"/>
      <c r="B22" s="270" t="s">
        <v>63</v>
      </c>
      <c r="C22" s="78" t="s">
        <v>14</v>
      </c>
      <c r="D22" s="93">
        <f>SUM(D23:D26)</f>
        <v>302</v>
      </c>
      <c r="E22" s="93">
        <f>SUM(E23:E26)</f>
        <v>0</v>
      </c>
      <c r="F22" s="93">
        <f>SUM(F23:F26)</f>
        <v>0</v>
      </c>
      <c r="G22" s="81">
        <f t="shared" si="1"/>
        <v>0</v>
      </c>
      <c r="H22" s="272"/>
      <c r="I22" s="82" t="s">
        <v>15</v>
      </c>
      <c r="J22" s="82">
        <f>SUM(J23:J25)</f>
        <v>2</v>
      </c>
      <c r="K22" s="275" t="s">
        <v>688</v>
      </c>
      <c r="L22" s="267"/>
      <c r="M22" s="61"/>
    </row>
    <row r="23" spans="1:13" ht="18.95" customHeight="1">
      <c r="A23" s="269"/>
      <c r="B23" s="270"/>
      <c r="C23" s="78" t="s">
        <v>17</v>
      </c>
      <c r="D23" s="79">
        <f>D73+D78</f>
        <v>302</v>
      </c>
      <c r="E23" s="79">
        <f>E73+E78</f>
        <v>0</v>
      </c>
      <c r="F23" s="79">
        <f>F73+F78</f>
        <v>0</v>
      </c>
      <c r="G23" s="83">
        <f t="shared" si="1"/>
        <v>0</v>
      </c>
      <c r="H23" s="272"/>
      <c r="I23" s="82" t="s">
        <v>18</v>
      </c>
      <c r="J23" s="82">
        <v>0</v>
      </c>
      <c r="K23" s="270"/>
      <c r="L23" s="267"/>
      <c r="M23" s="61"/>
    </row>
    <row r="24" spans="1:13" ht="18.95" customHeight="1">
      <c r="A24" s="269"/>
      <c r="B24" s="270"/>
      <c r="C24" s="78" t="s">
        <v>19</v>
      </c>
      <c r="D24" s="79">
        <v>0</v>
      </c>
      <c r="E24" s="80">
        <v>0</v>
      </c>
      <c r="F24" s="80">
        <v>0</v>
      </c>
      <c r="G24" s="83">
        <f t="shared" si="1"/>
        <v>0</v>
      </c>
      <c r="H24" s="272"/>
      <c r="I24" s="82" t="s">
        <v>20</v>
      </c>
      <c r="J24" s="82">
        <v>0</v>
      </c>
      <c r="K24" s="270"/>
      <c r="L24" s="267"/>
      <c r="M24" s="61"/>
    </row>
    <row r="25" spans="1:13" ht="18.95" customHeight="1">
      <c r="A25" s="269"/>
      <c r="B25" s="270"/>
      <c r="C25" s="78" t="s">
        <v>21</v>
      </c>
      <c r="D25" s="79">
        <v>0</v>
      </c>
      <c r="E25" s="80">
        <v>0</v>
      </c>
      <c r="F25" s="80">
        <v>0</v>
      </c>
      <c r="G25" s="83">
        <f t="shared" si="1"/>
        <v>0</v>
      </c>
      <c r="H25" s="272"/>
      <c r="I25" s="82" t="s">
        <v>22</v>
      </c>
      <c r="J25" s="82">
        <v>2</v>
      </c>
      <c r="K25" s="270"/>
      <c r="L25" s="267"/>
      <c r="M25" s="61"/>
    </row>
    <row r="26" spans="1:13" ht="18.95" customHeight="1">
      <c r="A26" s="269"/>
      <c r="B26" s="271"/>
      <c r="C26" s="78" t="s">
        <v>23</v>
      </c>
      <c r="D26" s="79">
        <v>0</v>
      </c>
      <c r="E26" s="80">
        <v>0</v>
      </c>
      <c r="F26" s="80">
        <v>0</v>
      </c>
      <c r="G26" s="83">
        <f t="shared" si="1"/>
        <v>0</v>
      </c>
      <c r="H26" s="273"/>
      <c r="I26" s="94" t="s">
        <v>24</v>
      </c>
      <c r="J26" s="95">
        <f>IF(J22=0,0,(J23+J24*0.5)/J22)</f>
        <v>0</v>
      </c>
      <c r="K26" s="271"/>
      <c r="L26" s="268"/>
      <c r="M26" s="61"/>
    </row>
    <row r="27" spans="1:13" ht="18.95" customHeight="1">
      <c r="A27" s="89"/>
      <c r="B27" s="275" t="s">
        <v>819</v>
      </c>
      <c r="C27" s="78" t="s">
        <v>14</v>
      </c>
      <c r="D27" s="93">
        <f>SUM(D28:D31)</f>
        <v>2769429.7</v>
      </c>
      <c r="E27" s="93">
        <f>SUM(E28:E31)</f>
        <v>807279.87266999995</v>
      </c>
      <c r="F27" s="93">
        <f>SUM(F28:F31)</f>
        <v>811795.02144000004</v>
      </c>
      <c r="G27" s="83">
        <f t="shared" si="1"/>
        <v>0.29312714507250354</v>
      </c>
      <c r="H27" s="274" t="s">
        <v>26</v>
      </c>
      <c r="I27" s="82" t="s">
        <v>15</v>
      </c>
      <c r="J27" s="82">
        <f>SUM(J28:J30)</f>
        <v>10</v>
      </c>
      <c r="K27" s="275" t="s">
        <v>688</v>
      </c>
      <c r="L27" s="277"/>
      <c r="M27" s="61"/>
    </row>
    <row r="28" spans="1:13" ht="18.95" customHeight="1">
      <c r="A28" s="90"/>
      <c r="B28" s="270"/>
      <c r="C28" s="78" t="s">
        <v>17</v>
      </c>
      <c r="D28" s="79">
        <f>D483+D538+D543+D558+D578+D598+D613+D618+D628</f>
        <v>1946131.6</v>
      </c>
      <c r="E28" s="79">
        <f>E483+E538+E543+E558+E578+E598+E613+E618+E628</f>
        <v>355732.77666999999</v>
      </c>
      <c r="F28" s="79">
        <f>F483+F538+F543+F558+F578+F598+F613+F618+F628</f>
        <v>360247.92544000002</v>
      </c>
      <c r="G28" s="83">
        <f t="shared" si="1"/>
        <v>0.18510974563076824</v>
      </c>
      <c r="H28" s="272"/>
      <c r="I28" s="82" t="s">
        <v>18</v>
      </c>
      <c r="J28" s="82">
        <v>1</v>
      </c>
      <c r="K28" s="270"/>
      <c r="L28" s="267"/>
      <c r="M28" s="61"/>
    </row>
    <row r="29" spans="1:13" ht="18.95" customHeight="1">
      <c r="A29" s="90"/>
      <c r="B29" s="270"/>
      <c r="C29" s="78" t="s">
        <v>19</v>
      </c>
      <c r="D29" s="79">
        <f t="shared" ref="D29:F31" si="3">D484+D539+D544+D559+D579+D599+D614+D619+D629</f>
        <v>823298.1</v>
      </c>
      <c r="E29" s="79">
        <f t="shared" si="3"/>
        <v>451547.09600000002</v>
      </c>
      <c r="F29" s="79">
        <f t="shared" si="3"/>
        <v>451547.09600000002</v>
      </c>
      <c r="G29" s="83">
        <f t="shared" si="1"/>
        <v>0.54846123900929689</v>
      </c>
      <c r="H29" s="272"/>
      <c r="I29" s="82" t="s">
        <v>20</v>
      </c>
      <c r="J29" s="82">
        <v>3</v>
      </c>
      <c r="K29" s="270"/>
      <c r="L29" s="267"/>
      <c r="M29" s="61"/>
    </row>
    <row r="30" spans="1:13" ht="18.95" customHeight="1">
      <c r="A30" s="90"/>
      <c r="B30" s="270"/>
      <c r="C30" s="78" t="s">
        <v>21</v>
      </c>
      <c r="D30" s="79">
        <f t="shared" si="3"/>
        <v>0</v>
      </c>
      <c r="E30" s="79">
        <f t="shared" si="3"/>
        <v>0</v>
      </c>
      <c r="F30" s="79">
        <f t="shared" si="3"/>
        <v>0</v>
      </c>
      <c r="G30" s="83">
        <f t="shared" si="1"/>
        <v>0</v>
      </c>
      <c r="H30" s="272"/>
      <c r="I30" s="82" t="s">
        <v>22</v>
      </c>
      <c r="J30" s="82">
        <v>6</v>
      </c>
      <c r="K30" s="270"/>
      <c r="L30" s="267"/>
    </row>
    <row r="31" spans="1:13" ht="18.95" customHeight="1">
      <c r="A31" s="91"/>
      <c r="B31" s="271"/>
      <c r="C31" s="78" t="s">
        <v>23</v>
      </c>
      <c r="D31" s="79">
        <f t="shared" si="3"/>
        <v>0</v>
      </c>
      <c r="E31" s="79">
        <f t="shared" si="3"/>
        <v>0</v>
      </c>
      <c r="F31" s="79">
        <f t="shared" si="3"/>
        <v>0</v>
      </c>
      <c r="G31" s="83">
        <f t="shared" si="1"/>
        <v>0</v>
      </c>
      <c r="H31" s="273"/>
      <c r="I31" s="82" t="s">
        <v>24</v>
      </c>
      <c r="J31" s="88">
        <f>IF(J27=0,0,(J28+J29*0.5)/J27)</f>
        <v>0.25</v>
      </c>
      <c r="K31" s="271"/>
      <c r="L31" s="268"/>
    </row>
    <row r="32" spans="1:13" ht="18.95" customHeight="1">
      <c r="A32" s="155" t="s">
        <v>28</v>
      </c>
      <c r="B32" s="160" t="s">
        <v>29</v>
      </c>
      <c r="C32" s="33" t="s">
        <v>14</v>
      </c>
      <c r="D32" s="34">
        <f>SUM(D33:D36)</f>
        <v>10019784.299999999</v>
      </c>
      <c r="E32" s="63">
        <v>2397906.2999999998</v>
      </c>
      <c r="F32" s="63">
        <f>SUM(F33:F36)</f>
        <v>5189092.4064799994</v>
      </c>
      <c r="G32" s="35">
        <f t="shared" si="1"/>
        <v>0.51788464213545993</v>
      </c>
      <c r="H32" s="239"/>
      <c r="I32" s="36" t="s">
        <v>15</v>
      </c>
      <c r="J32" s="36">
        <f>SUM(J33:J35)</f>
        <v>26</v>
      </c>
      <c r="K32" s="160" t="s">
        <v>30</v>
      </c>
      <c r="L32" s="227"/>
      <c r="M32" s="292">
        <v>805</v>
      </c>
    </row>
    <row r="33" spans="1:16" ht="18.95" customHeight="1">
      <c r="A33" s="156"/>
      <c r="B33" s="161"/>
      <c r="C33" s="33" t="s">
        <v>17</v>
      </c>
      <c r="D33" s="34">
        <f>SUM(D38+D63+D88+D148+D183+D198+D208)</f>
        <v>2397906.2999999993</v>
      </c>
      <c r="E33" s="37">
        <f>E38+E63+E88+E148+E183+E198+E208</f>
        <v>1497254.1912700001</v>
      </c>
      <c r="F33" s="37">
        <f>F38+F63+F88+F148+F183+F198+F208</f>
        <v>1471999.1050200001</v>
      </c>
      <c r="G33" s="38">
        <f t="shared" si="1"/>
        <v>0.61386848394368054</v>
      </c>
      <c r="H33" s="240"/>
      <c r="I33" s="36" t="s">
        <v>18</v>
      </c>
      <c r="J33" s="36">
        <f>COUNTIF($J$47:$J$216,"да")</f>
        <v>0</v>
      </c>
      <c r="K33" s="161"/>
      <c r="L33" s="228"/>
      <c r="M33" s="292"/>
      <c r="N33" s="61"/>
      <c r="O33" s="61"/>
      <c r="P33" s="61"/>
    </row>
    <row r="34" spans="1:16" ht="18.95" customHeight="1">
      <c r="A34" s="156"/>
      <c r="B34" s="161"/>
      <c r="C34" s="33" t="s">
        <v>19</v>
      </c>
      <c r="D34" s="34">
        <f>SUM(D39+D64+D89+D149+D184+D199+D209)</f>
        <v>324242.60000000003</v>
      </c>
      <c r="E34" s="37">
        <f t="shared" ref="E34:F36" si="4">E39+E64+E89+E149+E184+E199+E209</f>
        <v>217196.22146</v>
      </c>
      <c r="F34" s="37">
        <f t="shared" si="4"/>
        <v>217196.22146</v>
      </c>
      <c r="G34" s="38">
        <f t="shared" si="1"/>
        <v>0.66985714233724991</v>
      </c>
      <c r="H34" s="240"/>
      <c r="I34" s="36" t="s">
        <v>20</v>
      </c>
      <c r="J34" s="36">
        <f>COUNTIF($J$47:$J$216,"частично")</f>
        <v>11</v>
      </c>
      <c r="K34" s="161"/>
      <c r="L34" s="228"/>
      <c r="M34" s="292"/>
    </row>
    <row r="35" spans="1:16" ht="18.95" customHeight="1">
      <c r="A35" s="156"/>
      <c r="B35" s="161"/>
      <c r="C35" s="33" t="s">
        <v>21</v>
      </c>
      <c r="D35" s="34">
        <v>0</v>
      </c>
      <c r="E35" s="37">
        <f t="shared" si="4"/>
        <v>0</v>
      </c>
      <c r="F35" s="37">
        <f t="shared" si="4"/>
        <v>0</v>
      </c>
      <c r="G35" s="38">
        <f t="shared" si="1"/>
        <v>0</v>
      </c>
      <c r="H35" s="240"/>
      <c r="I35" s="36" t="s">
        <v>22</v>
      </c>
      <c r="J35" s="36">
        <f>COUNTIF($J$47:$J$216,"нет")</f>
        <v>15</v>
      </c>
      <c r="K35" s="161"/>
      <c r="L35" s="228"/>
      <c r="M35" s="292"/>
    </row>
    <row r="36" spans="1:16" ht="18.95" customHeight="1">
      <c r="A36" s="156"/>
      <c r="B36" s="161"/>
      <c r="C36" s="33" t="s">
        <v>31</v>
      </c>
      <c r="D36" s="34">
        <f>SUM(D41+D66+D91+D151+D186+D201+D211)</f>
        <v>7297635.3999999994</v>
      </c>
      <c r="E36" s="37">
        <f t="shared" si="4"/>
        <v>3499897.0799999996</v>
      </c>
      <c r="F36" s="37">
        <f t="shared" si="4"/>
        <v>3499897.0799999996</v>
      </c>
      <c r="G36" s="38">
        <f t="shared" si="1"/>
        <v>0.47959330497656816</v>
      </c>
      <c r="H36" s="240"/>
      <c r="I36" s="36" t="s">
        <v>24</v>
      </c>
      <c r="J36" s="39">
        <f>IF(J32=0,0,(J33+J34*0.5)/J32)</f>
        <v>0.21153846153846154</v>
      </c>
      <c r="K36" s="161"/>
      <c r="L36" s="229"/>
      <c r="M36" s="292"/>
    </row>
    <row r="37" spans="1:16" s="18" customFormat="1" ht="18.95" customHeight="1">
      <c r="A37" s="123" t="s">
        <v>32</v>
      </c>
      <c r="B37" s="123" t="s">
        <v>33</v>
      </c>
      <c r="C37" s="40" t="s">
        <v>14</v>
      </c>
      <c r="D37" s="41">
        <f>SUM(D38:D41)</f>
        <v>14421.8</v>
      </c>
      <c r="E37" s="42">
        <f>SUM(E38:E41)</f>
        <v>4344.7213499999998</v>
      </c>
      <c r="F37" s="42">
        <f>SUM(F38:F41)</f>
        <v>4339.2</v>
      </c>
      <c r="G37" s="43">
        <f t="shared" si="1"/>
        <v>0.30087783771789928</v>
      </c>
      <c r="H37" s="121" t="s">
        <v>34</v>
      </c>
      <c r="I37" s="44" t="s">
        <v>15</v>
      </c>
      <c r="J37" s="44">
        <v>3</v>
      </c>
      <c r="K37" s="121" t="s">
        <v>35</v>
      </c>
      <c r="L37" s="258"/>
      <c r="M37" s="292">
        <v>805</v>
      </c>
    </row>
    <row r="38" spans="1:16" s="18" customFormat="1" ht="18.95" customHeight="1">
      <c r="A38" s="124"/>
      <c r="B38" s="124"/>
      <c r="C38" s="40" t="s">
        <v>17</v>
      </c>
      <c r="D38" s="41">
        <f>SUM(D48,D53,D58,D43)</f>
        <v>373.4</v>
      </c>
      <c r="E38" s="42">
        <f t="shared" ref="E38:F41" si="5">E43+E48+E53+E58</f>
        <v>251.12135000000001</v>
      </c>
      <c r="F38" s="42">
        <f t="shared" si="5"/>
        <v>245.6</v>
      </c>
      <c r="G38" s="45">
        <f t="shared" si="1"/>
        <v>0.65773968934118909</v>
      </c>
      <c r="H38" s="122"/>
      <c r="I38" s="44" t="s">
        <v>18</v>
      </c>
      <c r="J38" s="44">
        <f>COUNTIF($J$47:$J$61,"да")</f>
        <v>0</v>
      </c>
      <c r="K38" s="122"/>
      <c r="L38" s="259"/>
      <c r="M38" s="292"/>
    </row>
    <row r="39" spans="1:16" s="18" customFormat="1" ht="18.95" customHeight="1">
      <c r="A39" s="124"/>
      <c r="B39" s="124"/>
      <c r="C39" s="40" t="s">
        <v>19</v>
      </c>
      <c r="D39" s="41">
        <f>SUM(D49,D54,D59,D44)</f>
        <v>0</v>
      </c>
      <c r="E39" s="42">
        <f t="shared" si="5"/>
        <v>0</v>
      </c>
      <c r="F39" s="42">
        <f t="shared" si="5"/>
        <v>0</v>
      </c>
      <c r="G39" s="45">
        <f t="shared" si="1"/>
        <v>0</v>
      </c>
      <c r="H39" s="122"/>
      <c r="I39" s="44" t="s">
        <v>20</v>
      </c>
      <c r="J39" s="44">
        <f>COUNTIF($J$47:$J$61,"частично")</f>
        <v>2</v>
      </c>
      <c r="K39" s="122"/>
      <c r="L39" s="259"/>
      <c r="M39" s="292"/>
    </row>
    <row r="40" spans="1:16" s="18" customFormat="1" ht="18.95" customHeight="1">
      <c r="A40" s="124"/>
      <c r="B40" s="124"/>
      <c r="C40" s="40" t="s">
        <v>21</v>
      </c>
      <c r="D40" s="41">
        <v>0</v>
      </c>
      <c r="E40" s="42">
        <f t="shared" si="5"/>
        <v>0</v>
      </c>
      <c r="F40" s="42">
        <f t="shared" si="5"/>
        <v>0</v>
      </c>
      <c r="G40" s="45">
        <f t="shared" si="1"/>
        <v>0</v>
      </c>
      <c r="H40" s="122"/>
      <c r="I40" s="44" t="s">
        <v>22</v>
      </c>
      <c r="J40" s="44">
        <f>COUNTIF($J$47:$J$61,"нет")</f>
        <v>1</v>
      </c>
      <c r="K40" s="122"/>
      <c r="L40" s="259"/>
      <c r="M40" s="292"/>
    </row>
    <row r="41" spans="1:16" s="18" customFormat="1" ht="18.95" customHeight="1">
      <c r="A41" s="124"/>
      <c r="B41" s="124"/>
      <c r="C41" s="40" t="s">
        <v>31</v>
      </c>
      <c r="D41" s="41">
        <f>SUM(D51,D56,D61,D46)</f>
        <v>14048.4</v>
      </c>
      <c r="E41" s="42">
        <f t="shared" si="5"/>
        <v>4093.6</v>
      </c>
      <c r="F41" s="42">
        <f t="shared" si="5"/>
        <v>4093.6</v>
      </c>
      <c r="G41" s="45">
        <f t="shared" si="1"/>
        <v>0.29139261410552092</v>
      </c>
      <c r="H41" s="122"/>
      <c r="I41" s="44" t="s">
        <v>24</v>
      </c>
      <c r="J41" s="46">
        <f>IF(J37=0,0,(J38+J39*0.5)/J37)</f>
        <v>0.33333333333333331</v>
      </c>
      <c r="K41" s="122"/>
      <c r="L41" s="260"/>
      <c r="M41" s="292"/>
    </row>
    <row r="42" spans="1:16" s="18" customFormat="1" ht="18.95" hidden="1" customHeight="1">
      <c r="A42" s="107" t="s">
        <v>36</v>
      </c>
      <c r="B42" s="107" t="s">
        <v>37</v>
      </c>
      <c r="C42" s="27" t="s">
        <v>14</v>
      </c>
      <c r="D42" s="28">
        <f>SUM(D43:D46)</f>
        <v>0</v>
      </c>
      <c r="E42" s="30">
        <f>SUM(E43:E46)</f>
        <v>0</v>
      </c>
      <c r="F42" s="30">
        <f>SUM(F43:F46)</f>
        <v>0</v>
      </c>
      <c r="G42" s="29">
        <f t="shared" si="1"/>
        <v>0</v>
      </c>
      <c r="H42" s="109" t="s">
        <v>38</v>
      </c>
      <c r="I42" s="264"/>
      <c r="J42" s="264"/>
      <c r="K42" s="109" t="s">
        <v>39</v>
      </c>
      <c r="L42" s="261"/>
      <c r="M42" s="1"/>
    </row>
    <row r="43" spans="1:16" s="18" customFormat="1" ht="18.95" hidden="1" customHeight="1">
      <c r="A43" s="108"/>
      <c r="B43" s="108"/>
      <c r="C43" s="27" t="s">
        <v>17</v>
      </c>
      <c r="D43" s="28">
        <v>0</v>
      </c>
      <c r="E43" s="30">
        <v>0</v>
      </c>
      <c r="F43" s="30">
        <v>0</v>
      </c>
      <c r="G43" s="31">
        <f t="shared" si="1"/>
        <v>0</v>
      </c>
      <c r="H43" s="110"/>
      <c r="I43" s="265"/>
      <c r="J43" s="265"/>
      <c r="K43" s="110"/>
      <c r="L43" s="262"/>
      <c r="M43" s="1"/>
    </row>
    <row r="44" spans="1:16" s="18" customFormat="1" ht="18.95" hidden="1" customHeight="1">
      <c r="A44" s="108"/>
      <c r="B44" s="108"/>
      <c r="C44" s="27" t="s">
        <v>19</v>
      </c>
      <c r="D44" s="28">
        <v>0</v>
      </c>
      <c r="E44" s="30">
        <v>0</v>
      </c>
      <c r="F44" s="30">
        <v>0</v>
      </c>
      <c r="G44" s="31">
        <f t="shared" si="1"/>
        <v>0</v>
      </c>
      <c r="H44" s="110"/>
      <c r="I44" s="265"/>
      <c r="J44" s="265"/>
      <c r="K44" s="110"/>
      <c r="L44" s="262"/>
      <c r="M44" s="1"/>
    </row>
    <row r="45" spans="1:16" s="18" customFormat="1" ht="18.95" hidden="1" customHeight="1">
      <c r="A45" s="108"/>
      <c r="B45" s="108"/>
      <c r="C45" s="27" t="s">
        <v>21</v>
      </c>
      <c r="D45" s="28">
        <v>0</v>
      </c>
      <c r="E45" s="30">
        <v>0</v>
      </c>
      <c r="F45" s="30">
        <v>0</v>
      </c>
      <c r="G45" s="31">
        <f t="shared" si="1"/>
        <v>0</v>
      </c>
      <c r="H45" s="110"/>
      <c r="I45" s="265"/>
      <c r="J45" s="265"/>
      <c r="K45" s="110"/>
      <c r="L45" s="262"/>
      <c r="M45" s="1"/>
    </row>
    <row r="46" spans="1:16" s="18" customFormat="1" ht="18.95" hidden="1" customHeight="1">
      <c r="A46" s="108"/>
      <c r="B46" s="108"/>
      <c r="C46" s="27" t="s">
        <v>31</v>
      </c>
      <c r="D46" s="28">
        <v>0</v>
      </c>
      <c r="E46" s="30">
        <v>0</v>
      </c>
      <c r="F46" s="30">
        <v>0</v>
      </c>
      <c r="G46" s="31">
        <f t="shared" si="1"/>
        <v>0</v>
      </c>
      <c r="H46" s="110"/>
      <c r="I46" s="266"/>
      <c r="J46" s="266"/>
      <c r="K46" s="110"/>
      <c r="L46" s="263"/>
      <c r="M46" s="1"/>
    </row>
    <row r="47" spans="1:16" s="18" customFormat="1" ht="18.95" customHeight="1">
      <c r="A47" s="107" t="s">
        <v>40</v>
      </c>
      <c r="B47" s="107" t="s">
        <v>41</v>
      </c>
      <c r="C47" s="27" t="s">
        <v>14</v>
      </c>
      <c r="D47" s="28">
        <f>SUM(D48:D51)</f>
        <v>1200.5999999999999</v>
      </c>
      <c r="E47" s="30">
        <f>SUM(E48:E51)</f>
        <v>786.33</v>
      </c>
      <c r="F47" s="30">
        <f>SUM(F48:F51)</f>
        <v>786.33</v>
      </c>
      <c r="G47" s="29">
        <f t="shared" si="1"/>
        <v>0.65494752623688168</v>
      </c>
      <c r="H47" s="109" t="s">
        <v>42</v>
      </c>
      <c r="I47" s="111" t="s">
        <v>780</v>
      </c>
      <c r="J47" s="111" t="s">
        <v>701</v>
      </c>
      <c r="K47" s="109" t="s">
        <v>43</v>
      </c>
      <c r="L47" s="104" t="s">
        <v>717</v>
      </c>
      <c r="M47" s="292">
        <v>805</v>
      </c>
    </row>
    <row r="48" spans="1:16" s="18" customFormat="1" ht="18.95" customHeight="1">
      <c r="A48" s="108"/>
      <c r="B48" s="108"/>
      <c r="C48" s="27" t="s">
        <v>17</v>
      </c>
      <c r="D48" s="28">
        <v>0</v>
      </c>
      <c r="E48" s="30">
        <v>0</v>
      </c>
      <c r="F48" s="30">
        <v>0</v>
      </c>
      <c r="G48" s="31">
        <f t="shared" si="1"/>
        <v>0</v>
      </c>
      <c r="H48" s="110"/>
      <c r="I48" s="112"/>
      <c r="J48" s="112"/>
      <c r="K48" s="110"/>
      <c r="L48" s="105"/>
      <c r="M48" s="292"/>
    </row>
    <row r="49" spans="1:13" s="18" customFormat="1" ht="18.95" customHeight="1">
      <c r="A49" s="108"/>
      <c r="B49" s="108"/>
      <c r="C49" s="27" t="s">
        <v>19</v>
      </c>
      <c r="D49" s="28">
        <v>0</v>
      </c>
      <c r="E49" s="30">
        <v>0</v>
      </c>
      <c r="F49" s="30">
        <v>0</v>
      </c>
      <c r="G49" s="31">
        <f t="shared" si="1"/>
        <v>0</v>
      </c>
      <c r="H49" s="110"/>
      <c r="I49" s="112"/>
      <c r="J49" s="112"/>
      <c r="K49" s="110"/>
      <c r="L49" s="105"/>
      <c r="M49" s="292"/>
    </row>
    <row r="50" spans="1:13" s="18" customFormat="1" ht="18.95" customHeight="1">
      <c r="A50" s="108"/>
      <c r="B50" s="108"/>
      <c r="C50" s="27" t="s">
        <v>21</v>
      </c>
      <c r="D50" s="28">
        <v>0</v>
      </c>
      <c r="E50" s="30">
        <v>0</v>
      </c>
      <c r="F50" s="30">
        <v>0</v>
      </c>
      <c r="G50" s="31">
        <f t="shared" si="1"/>
        <v>0</v>
      </c>
      <c r="H50" s="110"/>
      <c r="I50" s="112"/>
      <c r="J50" s="112"/>
      <c r="K50" s="110"/>
      <c r="L50" s="105"/>
      <c r="M50" s="292"/>
    </row>
    <row r="51" spans="1:13" s="18" customFormat="1" ht="18.95" customHeight="1">
      <c r="A51" s="108"/>
      <c r="B51" s="108"/>
      <c r="C51" s="27" t="s">
        <v>31</v>
      </c>
      <c r="D51" s="28">
        <v>1200.5999999999999</v>
      </c>
      <c r="E51" s="30">
        <v>786.33</v>
      </c>
      <c r="F51" s="30">
        <v>786.33</v>
      </c>
      <c r="G51" s="31">
        <f t="shared" si="1"/>
        <v>0.65494752623688168</v>
      </c>
      <c r="H51" s="110"/>
      <c r="I51" s="113"/>
      <c r="J51" s="113"/>
      <c r="K51" s="110"/>
      <c r="L51" s="106"/>
      <c r="M51" s="292"/>
    </row>
    <row r="52" spans="1:13" s="18" customFormat="1" ht="18.95" customHeight="1">
      <c r="A52" s="107" t="s">
        <v>44</v>
      </c>
      <c r="B52" s="107" t="s">
        <v>45</v>
      </c>
      <c r="C52" s="27" t="s">
        <v>14</v>
      </c>
      <c r="D52" s="28">
        <f>SUM(D53:D56)</f>
        <v>12847.8</v>
      </c>
      <c r="E52" s="30">
        <f>SUM(E53:E56)</f>
        <v>3307.27</v>
      </c>
      <c r="F52" s="30">
        <f>SUM(F53:F56)</f>
        <v>3307.27</v>
      </c>
      <c r="G52" s="29">
        <f t="shared" si="1"/>
        <v>0.25741916904061396</v>
      </c>
      <c r="H52" s="109" t="s">
        <v>46</v>
      </c>
      <c r="I52" s="111" t="s">
        <v>750</v>
      </c>
      <c r="J52" s="111" t="s">
        <v>105</v>
      </c>
      <c r="K52" s="109" t="s">
        <v>43</v>
      </c>
      <c r="L52" s="104" t="s">
        <v>801</v>
      </c>
      <c r="M52" s="292">
        <v>805</v>
      </c>
    </row>
    <row r="53" spans="1:13" s="18" customFormat="1" ht="18.95" customHeight="1">
      <c r="A53" s="108"/>
      <c r="B53" s="108"/>
      <c r="C53" s="27" t="s">
        <v>17</v>
      </c>
      <c r="D53" s="28">
        <v>0</v>
      </c>
      <c r="E53" s="30">
        <v>0</v>
      </c>
      <c r="F53" s="30">
        <v>0</v>
      </c>
      <c r="G53" s="31">
        <f t="shared" si="1"/>
        <v>0</v>
      </c>
      <c r="H53" s="110"/>
      <c r="I53" s="112"/>
      <c r="J53" s="112"/>
      <c r="K53" s="110"/>
      <c r="L53" s="105"/>
      <c r="M53" s="292"/>
    </row>
    <row r="54" spans="1:13" s="18" customFormat="1" ht="18.95" customHeight="1">
      <c r="A54" s="108"/>
      <c r="B54" s="108"/>
      <c r="C54" s="27" t="s">
        <v>19</v>
      </c>
      <c r="D54" s="28">
        <v>0</v>
      </c>
      <c r="E54" s="30">
        <v>0</v>
      </c>
      <c r="F54" s="30">
        <v>0</v>
      </c>
      <c r="G54" s="31">
        <f t="shared" si="1"/>
        <v>0</v>
      </c>
      <c r="H54" s="110"/>
      <c r="I54" s="112"/>
      <c r="J54" s="112"/>
      <c r="K54" s="110"/>
      <c r="L54" s="105"/>
      <c r="M54" s="292"/>
    </row>
    <row r="55" spans="1:13" s="18" customFormat="1" ht="18.95" customHeight="1">
      <c r="A55" s="108"/>
      <c r="B55" s="108"/>
      <c r="C55" s="27" t="s">
        <v>21</v>
      </c>
      <c r="D55" s="28">
        <v>0</v>
      </c>
      <c r="E55" s="30">
        <v>0</v>
      </c>
      <c r="F55" s="30">
        <v>0</v>
      </c>
      <c r="G55" s="31">
        <f t="shared" si="1"/>
        <v>0</v>
      </c>
      <c r="H55" s="110"/>
      <c r="I55" s="112"/>
      <c r="J55" s="112"/>
      <c r="K55" s="110"/>
      <c r="L55" s="105"/>
      <c r="M55" s="292"/>
    </row>
    <row r="56" spans="1:13" s="18" customFormat="1" ht="18.95" customHeight="1">
      <c r="A56" s="108"/>
      <c r="B56" s="108"/>
      <c r="C56" s="27" t="s">
        <v>31</v>
      </c>
      <c r="D56" s="28">
        <v>12847.8</v>
      </c>
      <c r="E56" s="30">
        <v>3307.27</v>
      </c>
      <c r="F56" s="30">
        <v>3307.27</v>
      </c>
      <c r="G56" s="31">
        <f t="shared" si="1"/>
        <v>0.25741916904061396</v>
      </c>
      <c r="H56" s="110"/>
      <c r="I56" s="113"/>
      <c r="J56" s="113"/>
      <c r="K56" s="110"/>
      <c r="L56" s="106"/>
      <c r="M56" s="292"/>
    </row>
    <row r="57" spans="1:13" s="18" customFormat="1" ht="18.95" customHeight="1">
      <c r="A57" s="107" t="s">
        <v>47</v>
      </c>
      <c r="B57" s="107" t="s">
        <v>48</v>
      </c>
      <c r="C57" s="27" t="s">
        <v>14</v>
      </c>
      <c r="D57" s="28">
        <f>SUM(D58:D61)</f>
        <v>373.4</v>
      </c>
      <c r="E57" s="30">
        <f>SUM(E58:E61)</f>
        <v>251.12135000000001</v>
      </c>
      <c r="F57" s="30">
        <f>SUM(F58:F61)</f>
        <v>245.6</v>
      </c>
      <c r="G57" s="29">
        <f t="shared" si="1"/>
        <v>0.65773968934118909</v>
      </c>
      <c r="H57" s="109" t="s">
        <v>49</v>
      </c>
      <c r="I57" s="176" t="s">
        <v>50</v>
      </c>
      <c r="J57" s="111" t="s">
        <v>701</v>
      </c>
      <c r="K57" s="109" t="s">
        <v>51</v>
      </c>
      <c r="L57" s="104"/>
      <c r="M57" s="292">
        <v>805</v>
      </c>
    </row>
    <row r="58" spans="1:13" s="18" customFormat="1" ht="18.95" customHeight="1">
      <c r="A58" s="108"/>
      <c r="B58" s="108"/>
      <c r="C58" s="27" t="s">
        <v>17</v>
      </c>
      <c r="D58" s="28">
        <f>373.4</f>
        <v>373.4</v>
      </c>
      <c r="E58" s="30">
        <v>251.12135000000001</v>
      </c>
      <c r="F58" s="30">
        <v>245.6</v>
      </c>
      <c r="G58" s="31">
        <f t="shared" si="1"/>
        <v>0.65773968934118909</v>
      </c>
      <c r="H58" s="110"/>
      <c r="I58" s="177"/>
      <c r="J58" s="112"/>
      <c r="K58" s="110"/>
      <c r="L58" s="105"/>
      <c r="M58" s="292"/>
    </row>
    <row r="59" spans="1:13" s="18" customFormat="1" ht="18.95" customHeight="1">
      <c r="A59" s="108"/>
      <c r="B59" s="108"/>
      <c r="C59" s="27" t="s">
        <v>19</v>
      </c>
      <c r="D59" s="28">
        <v>0</v>
      </c>
      <c r="E59" s="30">
        <v>0</v>
      </c>
      <c r="F59" s="30">
        <v>0</v>
      </c>
      <c r="G59" s="31">
        <f t="shared" si="1"/>
        <v>0</v>
      </c>
      <c r="H59" s="110"/>
      <c r="I59" s="177"/>
      <c r="J59" s="112"/>
      <c r="K59" s="110"/>
      <c r="L59" s="105"/>
      <c r="M59" s="292"/>
    </row>
    <row r="60" spans="1:13" s="18" customFormat="1" ht="18.95" customHeight="1">
      <c r="A60" s="108"/>
      <c r="B60" s="108"/>
      <c r="C60" s="27" t="s">
        <v>21</v>
      </c>
      <c r="D60" s="28">
        <v>0</v>
      </c>
      <c r="E60" s="30">
        <v>0</v>
      </c>
      <c r="F60" s="30">
        <v>0</v>
      </c>
      <c r="G60" s="31">
        <f t="shared" si="1"/>
        <v>0</v>
      </c>
      <c r="H60" s="110"/>
      <c r="I60" s="177"/>
      <c r="J60" s="112"/>
      <c r="K60" s="110"/>
      <c r="L60" s="105"/>
      <c r="M60" s="292"/>
    </row>
    <row r="61" spans="1:13" s="18" customFormat="1" ht="18.95" customHeight="1">
      <c r="A61" s="108"/>
      <c r="B61" s="108"/>
      <c r="C61" s="27" t="s">
        <v>31</v>
      </c>
      <c r="D61" s="28">
        <v>0</v>
      </c>
      <c r="E61" s="30">
        <v>0</v>
      </c>
      <c r="F61" s="30">
        <v>0</v>
      </c>
      <c r="G61" s="31">
        <f t="shared" si="1"/>
        <v>0</v>
      </c>
      <c r="H61" s="110"/>
      <c r="I61" s="178"/>
      <c r="J61" s="113"/>
      <c r="K61" s="110"/>
      <c r="L61" s="106"/>
      <c r="M61" s="292"/>
    </row>
    <row r="62" spans="1:13" s="18" customFormat="1" ht="18.95" customHeight="1">
      <c r="A62" s="123" t="s">
        <v>52</v>
      </c>
      <c r="B62" s="123" t="s">
        <v>53</v>
      </c>
      <c r="C62" s="40" t="s">
        <v>14</v>
      </c>
      <c r="D62" s="41">
        <f>SUM(D63:D66)</f>
        <v>977.7</v>
      </c>
      <c r="E62" s="42">
        <f>SUM(E63:E66)</f>
        <v>256.82869999999997</v>
      </c>
      <c r="F62" s="42">
        <f>SUM(F63:F66)</f>
        <v>256.82869999999997</v>
      </c>
      <c r="G62" s="43">
        <f t="shared" si="1"/>
        <v>0.26268661143500049</v>
      </c>
      <c r="H62" s="123" t="s">
        <v>54</v>
      </c>
      <c r="I62" s="44" t="s">
        <v>15</v>
      </c>
      <c r="J62" s="44">
        <v>4</v>
      </c>
      <c r="K62" s="123" t="s">
        <v>55</v>
      </c>
      <c r="L62" s="258"/>
      <c r="M62" s="292">
        <v>805</v>
      </c>
    </row>
    <row r="63" spans="1:13" s="18" customFormat="1" ht="18.95" customHeight="1">
      <c r="A63" s="124"/>
      <c r="B63" s="124"/>
      <c r="C63" s="40" t="s">
        <v>17</v>
      </c>
      <c r="D63" s="41">
        <f>SUM(D68,D73,D78,D83)</f>
        <v>977.7</v>
      </c>
      <c r="E63" s="42">
        <f t="shared" ref="E63:F66" si="6">E68+E73+E78+E83</f>
        <v>256.82869999999997</v>
      </c>
      <c r="F63" s="42">
        <f t="shared" si="6"/>
        <v>256.82869999999997</v>
      </c>
      <c r="G63" s="45">
        <f t="shared" si="1"/>
        <v>0.26268661143500049</v>
      </c>
      <c r="H63" s="124"/>
      <c r="I63" s="44" t="s">
        <v>18</v>
      </c>
      <c r="J63" s="44">
        <f>COUNTIF($J$67:$J$86,"да")</f>
        <v>0</v>
      </c>
      <c r="K63" s="124"/>
      <c r="L63" s="259"/>
      <c r="M63" s="292"/>
    </row>
    <row r="64" spans="1:13" s="18" customFormat="1" ht="18.95" customHeight="1">
      <c r="A64" s="124"/>
      <c r="B64" s="124"/>
      <c r="C64" s="40" t="s">
        <v>19</v>
      </c>
      <c r="D64" s="41">
        <f>SUM(D69,D74,D79,D84)</f>
        <v>0</v>
      </c>
      <c r="E64" s="42">
        <f t="shared" si="6"/>
        <v>0</v>
      </c>
      <c r="F64" s="42">
        <f t="shared" si="6"/>
        <v>0</v>
      </c>
      <c r="G64" s="45">
        <f t="shared" si="1"/>
        <v>0</v>
      </c>
      <c r="H64" s="124"/>
      <c r="I64" s="44" t="s">
        <v>20</v>
      </c>
      <c r="J64" s="44">
        <f>COUNTIF($J$67:$J$86,"частично")</f>
        <v>2</v>
      </c>
      <c r="K64" s="124"/>
      <c r="L64" s="259"/>
      <c r="M64" s="292"/>
    </row>
    <row r="65" spans="1:13" s="18" customFormat="1" ht="18.95" customHeight="1">
      <c r="A65" s="124"/>
      <c r="B65" s="124"/>
      <c r="C65" s="40" t="s">
        <v>21</v>
      </c>
      <c r="D65" s="41">
        <v>0</v>
      </c>
      <c r="E65" s="42">
        <f t="shared" si="6"/>
        <v>0</v>
      </c>
      <c r="F65" s="42">
        <f t="shared" si="6"/>
        <v>0</v>
      </c>
      <c r="G65" s="45">
        <f t="shared" si="1"/>
        <v>0</v>
      </c>
      <c r="H65" s="124"/>
      <c r="I65" s="44" t="s">
        <v>22</v>
      </c>
      <c r="J65" s="44">
        <f>COUNTIF($J$67:$J$86,"нет")</f>
        <v>2</v>
      </c>
      <c r="K65" s="124"/>
      <c r="L65" s="259"/>
      <c r="M65" s="292"/>
    </row>
    <row r="66" spans="1:13" s="18" customFormat="1" ht="18.95" customHeight="1">
      <c r="A66" s="124"/>
      <c r="B66" s="124"/>
      <c r="C66" s="40" t="s">
        <v>31</v>
      </c>
      <c r="D66" s="41">
        <f>SUM(D71,D76,D81,D86)</f>
        <v>0</v>
      </c>
      <c r="E66" s="42">
        <f t="shared" si="6"/>
        <v>0</v>
      </c>
      <c r="F66" s="42">
        <f t="shared" si="6"/>
        <v>0</v>
      </c>
      <c r="G66" s="45">
        <f t="shared" si="1"/>
        <v>0</v>
      </c>
      <c r="H66" s="124"/>
      <c r="I66" s="44" t="s">
        <v>24</v>
      </c>
      <c r="J66" s="46">
        <f>IF(J62=0,0,(J63+J64*0.5)/J62)</f>
        <v>0.25</v>
      </c>
      <c r="K66" s="124"/>
      <c r="L66" s="260"/>
      <c r="M66" s="292"/>
    </row>
    <row r="67" spans="1:13" s="18" customFormat="1" ht="18.95" customHeight="1">
      <c r="A67" s="107" t="s">
        <v>56</v>
      </c>
      <c r="B67" s="107" t="s">
        <v>57</v>
      </c>
      <c r="C67" s="27" t="s">
        <v>14</v>
      </c>
      <c r="D67" s="28">
        <f>SUM(D68:D71)</f>
        <v>198.7</v>
      </c>
      <c r="E67" s="30">
        <f>SUM(E68:E71)</f>
        <v>110.87869999999999</v>
      </c>
      <c r="F67" s="30">
        <f>SUM(F68:F71)</f>
        <v>110.87869999999999</v>
      </c>
      <c r="G67" s="29">
        <f t="shared" si="1"/>
        <v>0.5580206341217917</v>
      </c>
      <c r="H67" s="109" t="s">
        <v>58</v>
      </c>
      <c r="I67" s="176" t="s">
        <v>59</v>
      </c>
      <c r="J67" s="111" t="s">
        <v>701</v>
      </c>
      <c r="K67" s="109" t="s">
        <v>39</v>
      </c>
      <c r="L67" s="261" t="s">
        <v>717</v>
      </c>
      <c r="M67" s="292">
        <v>805</v>
      </c>
    </row>
    <row r="68" spans="1:13" s="18" customFormat="1" ht="18.95" customHeight="1">
      <c r="A68" s="108"/>
      <c r="B68" s="108"/>
      <c r="C68" s="27" t="s">
        <v>17</v>
      </c>
      <c r="D68" s="28">
        <v>198.7</v>
      </c>
      <c r="E68" s="30">
        <v>110.87869999999999</v>
      </c>
      <c r="F68" s="30">
        <v>110.87869999999999</v>
      </c>
      <c r="G68" s="31">
        <f t="shared" si="1"/>
        <v>0.5580206341217917</v>
      </c>
      <c r="H68" s="110"/>
      <c r="I68" s="177"/>
      <c r="J68" s="112"/>
      <c r="K68" s="110"/>
      <c r="L68" s="262"/>
      <c r="M68" s="292"/>
    </row>
    <row r="69" spans="1:13" s="18" customFormat="1" ht="18.95" customHeight="1">
      <c r="A69" s="108"/>
      <c r="B69" s="108"/>
      <c r="C69" s="27" t="s">
        <v>19</v>
      </c>
      <c r="D69" s="28">
        <v>0</v>
      </c>
      <c r="E69" s="30">
        <v>0</v>
      </c>
      <c r="F69" s="30">
        <v>0</v>
      </c>
      <c r="G69" s="31">
        <f t="shared" si="1"/>
        <v>0</v>
      </c>
      <c r="H69" s="110"/>
      <c r="I69" s="177"/>
      <c r="J69" s="112"/>
      <c r="K69" s="110"/>
      <c r="L69" s="262"/>
      <c r="M69" s="292"/>
    </row>
    <row r="70" spans="1:13" s="18" customFormat="1" ht="18.95" customHeight="1">
      <c r="A70" s="108"/>
      <c r="B70" s="108"/>
      <c r="C70" s="27" t="s">
        <v>21</v>
      </c>
      <c r="D70" s="28">
        <v>0</v>
      </c>
      <c r="E70" s="30">
        <v>0</v>
      </c>
      <c r="F70" s="30">
        <v>0</v>
      </c>
      <c r="G70" s="31">
        <f t="shared" si="1"/>
        <v>0</v>
      </c>
      <c r="H70" s="110"/>
      <c r="I70" s="177"/>
      <c r="J70" s="112"/>
      <c r="K70" s="110"/>
      <c r="L70" s="262"/>
      <c r="M70" s="292"/>
    </row>
    <row r="71" spans="1:13" s="18" customFormat="1" ht="18.95" customHeight="1">
      <c r="A71" s="108"/>
      <c r="B71" s="108"/>
      <c r="C71" s="27" t="s">
        <v>31</v>
      </c>
      <c r="D71" s="28">
        <v>0</v>
      </c>
      <c r="E71" s="30">
        <v>0</v>
      </c>
      <c r="F71" s="30">
        <v>0</v>
      </c>
      <c r="G71" s="31">
        <f t="shared" si="1"/>
        <v>0</v>
      </c>
      <c r="H71" s="110"/>
      <c r="I71" s="178"/>
      <c r="J71" s="113"/>
      <c r="K71" s="110"/>
      <c r="L71" s="263"/>
      <c r="M71" s="292"/>
    </row>
    <row r="72" spans="1:13" s="18" customFormat="1" ht="18.95" customHeight="1">
      <c r="A72" s="107" t="s">
        <v>60</v>
      </c>
      <c r="B72" s="107" t="s">
        <v>61</v>
      </c>
      <c r="C72" s="27" t="s">
        <v>14</v>
      </c>
      <c r="D72" s="28">
        <f>SUM(D73:D76)</f>
        <v>144</v>
      </c>
      <c r="E72" s="30">
        <f>SUM(E73:E76)</f>
        <v>0</v>
      </c>
      <c r="F72" s="30">
        <f>SUM(F73:F76)</f>
        <v>0</v>
      </c>
      <c r="G72" s="29">
        <f t="shared" si="1"/>
        <v>0</v>
      </c>
      <c r="H72" s="109" t="s">
        <v>62</v>
      </c>
      <c r="I72" s="111" t="s">
        <v>717</v>
      </c>
      <c r="J72" s="111" t="s">
        <v>105</v>
      </c>
      <c r="K72" s="109" t="s">
        <v>63</v>
      </c>
      <c r="L72" s="104" t="s">
        <v>781</v>
      </c>
      <c r="M72" s="292">
        <v>815</v>
      </c>
    </row>
    <row r="73" spans="1:13" s="18" customFormat="1" ht="18.95" customHeight="1">
      <c r="A73" s="108"/>
      <c r="B73" s="108"/>
      <c r="C73" s="27" t="s">
        <v>17</v>
      </c>
      <c r="D73" s="28">
        <v>144</v>
      </c>
      <c r="E73" s="30">
        <v>0</v>
      </c>
      <c r="F73" s="30">
        <v>0</v>
      </c>
      <c r="G73" s="31">
        <f t="shared" si="1"/>
        <v>0</v>
      </c>
      <c r="H73" s="110"/>
      <c r="I73" s="112"/>
      <c r="J73" s="112"/>
      <c r="K73" s="110"/>
      <c r="L73" s="105"/>
      <c r="M73" s="292"/>
    </row>
    <row r="74" spans="1:13" s="18" customFormat="1" ht="18.95" customHeight="1">
      <c r="A74" s="108"/>
      <c r="B74" s="108"/>
      <c r="C74" s="27" t="s">
        <v>19</v>
      </c>
      <c r="D74" s="28">
        <v>0</v>
      </c>
      <c r="E74" s="30">
        <v>0</v>
      </c>
      <c r="F74" s="30">
        <v>0</v>
      </c>
      <c r="G74" s="31">
        <f t="shared" si="1"/>
        <v>0</v>
      </c>
      <c r="H74" s="110"/>
      <c r="I74" s="112"/>
      <c r="J74" s="112"/>
      <c r="K74" s="110"/>
      <c r="L74" s="105"/>
      <c r="M74" s="292"/>
    </row>
    <row r="75" spans="1:13" s="18" customFormat="1" ht="18.95" customHeight="1">
      <c r="A75" s="108"/>
      <c r="B75" s="108"/>
      <c r="C75" s="27" t="s">
        <v>21</v>
      </c>
      <c r="D75" s="28">
        <v>0</v>
      </c>
      <c r="E75" s="30">
        <v>0</v>
      </c>
      <c r="F75" s="30">
        <v>0</v>
      </c>
      <c r="G75" s="31">
        <f t="shared" si="1"/>
        <v>0</v>
      </c>
      <c r="H75" s="110"/>
      <c r="I75" s="112"/>
      <c r="J75" s="112"/>
      <c r="K75" s="110"/>
      <c r="L75" s="105"/>
      <c r="M75" s="292"/>
    </row>
    <row r="76" spans="1:13" s="18" customFormat="1" ht="18.95" customHeight="1">
      <c r="A76" s="108"/>
      <c r="B76" s="108"/>
      <c r="C76" s="27" t="s">
        <v>31</v>
      </c>
      <c r="D76" s="28">
        <v>0</v>
      </c>
      <c r="E76" s="30">
        <v>0</v>
      </c>
      <c r="F76" s="30">
        <v>0</v>
      </c>
      <c r="G76" s="31">
        <f t="shared" si="1"/>
        <v>0</v>
      </c>
      <c r="H76" s="110"/>
      <c r="I76" s="113"/>
      <c r="J76" s="113"/>
      <c r="K76" s="110"/>
      <c r="L76" s="106"/>
      <c r="M76" s="292"/>
    </row>
    <row r="77" spans="1:13" s="18" customFormat="1" ht="18.95" customHeight="1">
      <c r="A77" s="107" t="s">
        <v>64</v>
      </c>
      <c r="B77" s="107" t="s">
        <v>65</v>
      </c>
      <c r="C77" s="27" t="s">
        <v>14</v>
      </c>
      <c r="D77" s="28">
        <f>SUM(D78:D81)</f>
        <v>158</v>
      </c>
      <c r="E77" s="30">
        <f>SUM(E78:E81)</f>
        <v>0</v>
      </c>
      <c r="F77" s="30">
        <f>SUM(F78:F81)</f>
        <v>0</v>
      </c>
      <c r="G77" s="29">
        <f t="shared" si="1"/>
        <v>0</v>
      </c>
      <c r="H77" s="109" t="s">
        <v>66</v>
      </c>
      <c r="I77" s="111" t="s">
        <v>717</v>
      </c>
      <c r="J77" s="111" t="s">
        <v>105</v>
      </c>
      <c r="K77" s="109" t="s">
        <v>63</v>
      </c>
      <c r="L77" s="104" t="s">
        <v>781</v>
      </c>
      <c r="M77" s="292">
        <v>815</v>
      </c>
    </row>
    <row r="78" spans="1:13" s="18" customFormat="1" ht="18.95" customHeight="1">
      <c r="A78" s="108"/>
      <c r="B78" s="108"/>
      <c r="C78" s="27" t="s">
        <v>17</v>
      </c>
      <c r="D78" s="28">
        <v>158</v>
      </c>
      <c r="E78" s="30">
        <v>0</v>
      </c>
      <c r="F78" s="30">
        <v>0</v>
      </c>
      <c r="G78" s="31">
        <f t="shared" si="1"/>
        <v>0</v>
      </c>
      <c r="H78" s="110"/>
      <c r="I78" s="112"/>
      <c r="J78" s="112"/>
      <c r="K78" s="110"/>
      <c r="L78" s="105"/>
      <c r="M78" s="292"/>
    </row>
    <row r="79" spans="1:13" s="18" customFormat="1" ht="18.95" customHeight="1">
      <c r="A79" s="108"/>
      <c r="B79" s="108"/>
      <c r="C79" s="27" t="s">
        <v>19</v>
      </c>
      <c r="D79" s="28">
        <v>0</v>
      </c>
      <c r="E79" s="30">
        <v>0</v>
      </c>
      <c r="F79" s="30">
        <v>0</v>
      </c>
      <c r="G79" s="31">
        <f t="shared" si="1"/>
        <v>0</v>
      </c>
      <c r="H79" s="110"/>
      <c r="I79" s="112"/>
      <c r="J79" s="112"/>
      <c r="K79" s="110"/>
      <c r="L79" s="105"/>
      <c r="M79" s="292"/>
    </row>
    <row r="80" spans="1:13" s="18" customFormat="1" ht="18.95" customHeight="1">
      <c r="A80" s="108"/>
      <c r="B80" s="108"/>
      <c r="C80" s="27" t="s">
        <v>21</v>
      </c>
      <c r="D80" s="28">
        <v>0</v>
      </c>
      <c r="E80" s="30">
        <v>0</v>
      </c>
      <c r="F80" s="30">
        <v>0</v>
      </c>
      <c r="G80" s="31">
        <f t="shared" si="1"/>
        <v>0</v>
      </c>
      <c r="H80" s="110"/>
      <c r="I80" s="112"/>
      <c r="J80" s="112"/>
      <c r="K80" s="110"/>
      <c r="L80" s="105"/>
      <c r="M80" s="292"/>
    </row>
    <row r="81" spans="1:13" s="18" customFormat="1" ht="18.95" customHeight="1">
      <c r="A81" s="108"/>
      <c r="B81" s="108"/>
      <c r="C81" s="27" t="s">
        <v>31</v>
      </c>
      <c r="D81" s="28">
        <v>0</v>
      </c>
      <c r="E81" s="30">
        <v>0</v>
      </c>
      <c r="F81" s="30">
        <v>0</v>
      </c>
      <c r="G81" s="31">
        <f t="shared" si="1"/>
        <v>0</v>
      </c>
      <c r="H81" s="110"/>
      <c r="I81" s="113"/>
      <c r="J81" s="113"/>
      <c r="K81" s="110"/>
      <c r="L81" s="106"/>
      <c r="M81" s="292"/>
    </row>
    <row r="82" spans="1:13" s="18" customFormat="1" ht="18.95" customHeight="1">
      <c r="A82" s="107" t="s">
        <v>67</v>
      </c>
      <c r="B82" s="107" t="s">
        <v>68</v>
      </c>
      <c r="C82" s="27" t="s">
        <v>14</v>
      </c>
      <c r="D82" s="28">
        <f>SUM(D83:D86)</f>
        <v>477</v>
      </c>
      <c r="E82" s="30">
        <v>145.94999999999999</v>
      </c>
      <c r="F82" s="30">
        <v>145.94999999999999</v>
      </c>
      <c r="G82" s="29">
        <f t="shared" si="1"/>
        <v>0.30597484276729559</v>
      </c>
      <c r="H82" s="109" t="s">
        <v>69</v>
      </c>
      <c r="I82" s="176" t="s">
        <v>782</v>
      </c>
      <c r="J82" s="111" t="s">
        <v>701</v>
      </c>
      <c r="K82" s="109" t="s">
        <v>70</v>
      </c>
      <c r="L82" s="104" t="s">
        <v>696</v>
      </c>
      <c r="M82" s="292">
        <v>832</v>
      </c>
    </row>
    <row r="83" spans="1:13" s="18" customFormat="1" ht="18.95" customHeight="1">
      <c r="A83" s="108"/>
      <c r="B83" s="108"/>
      <c r="C83" s="27" t="s">
        <v>17</v>
      </c>
      <c r="D83" s="28">
        <v>477</v>
      </c>
      <c r="E83" s="30">
        <v>145.94999999999999</v>
      </c>
      <c r="F83" s="30">
        <v>145.94999999999999</v>
      </c>
      <c r="G83" s="31">
        <f t="shared" si="1"/>
        <v>0.30597484276729559</v>
      </c>
      <c r="H83" s="110"/>
      <c r="I83" s="177"/>
      <c r="J83" s="112"/>
      <c r="K83" s="110"/>
      <c r="L83" s="105"/>
      <c r="M83" s="292"/>
    </row>
    <row r="84" spans="1:13" s="18" customFormat="1" ht="18.95" customHeight="1">
      <c r="A84" s="108"/>
      <c r="B84" s="108"/>
      <c r="C84" s="27" t="s">
        <v>19</v>
      </c>
      <c r="D84" s="28">
        <v>0</v>
      </c>
      <c r="E84" s="30">
        <v>0</v>
      </c>
      <c r="F84" s="30">
        <v>0</v>
      </c>
      <c r="G84" s="31">
        <f t="shared" si="1"/>
        <v>0</v>
      </c>
      <c r="H84" s="110"/>
      <c r="I84" s="177"/>
      <c r="J84" s="112"/>
      <c r="K84" s="110"/>
      <c r="L84" s="105"/>
      <c r="M84" s="292"/>
    </row>
    <row r="85" spans="1:13" s="18" customFormat="1" ht="18.95" customHeight="1">
      <c r="A85" s="108"/>
      <c r="B85" s="108"/>
      <c r="C85" s="27" t="s">
        <v>21</v>
      </c>
      <c r="D85" s="28">
        <v>0</v>
      </c>
      <c r="E85" s="30">
        <v>0</v>
      </c>
      <c r="F85" s="30">
        <v>0</v>
      </c>
      <c r="G85" s="31">
        <f t="shared" si="1"/>
        <v>0</v>
      </c>
      <c r="H85" s="110"/>
      <c r="I85" s="177"/>
      <c r="J85" s="112"/>
      <c r="K85" s="110"/>
      <c r="L85" s="105"/>
      <c r="M85" s="292"/>
    </row>
    <row r="86" spans="1:13" s="18" customFormat="1" ht="18.95" customHeight="1">
      <c r="A86" s="108"/>
      <c r="B86" s="108"/>
      <c r="C86" s="27" t="s">
        <v>31</v>
      </c>
      <c r="D86" s="28">
        <v>0</v>
      </c>
      <c r="E86" s="30">
        <v>0</v>
      </c>
      <c r="F86" s="30">
        <v>0</v>
      </c>
      <c r="G86" s="31">
        <f t="shared" si="1"/>
        <v>0</v>
      </c>
      <c r="H86" s="110"/>
      <c r="I86" s="178"/>
      <c r="J86" s="113"/>
      <c r="K86" s="110"/>
      <c r="L86" s="106"/>
      <c r="M86" s="292"/>
    </row>
    <row r="87" spans="1:13" s="18" customFormat="1" ht="18.95" customHeight="1">
      <c r="A87" s="123" t="s">
        <v>71</v>
      </c>
      <c r="B87" s="123" t="s">
        <v>72</v>
      </c>
      <c r="C87" s="40" t="s">
        <v>14</v>
      </c>
      <c r="D87" s="41">
        <f>SUM(D88:D91)</f>
        <v>7789209.3999999994</v>
      </c>
      <c r="E87" s="64">
        <f>SUM(E88:E91)</f>
        <v>3677600.8772499994</v>
      </c>
      <c r="F87" s="64">
        <f>SUM(F88:F91)</f>
        <v>3652351.3123499993</v>
      </c>
      <c r="G87" s="43">
        <f t="shared" ref="G87:G145" si="7">IF(D87&lt;&gt;0,F87/D87,0)</f>
        <v>0.46889884772516188</v>
      </c>
      <c r="H87" s="121" t="s">
        <v>73</v>
      </c>
      <c r="I87" s="65" t="s">
        <v>15</v>
      </c>
      <c r="J87" s="65">
        <v>10</v>
      </c>
      <c r="K87" s="121" t="s">
        <v>74</v>
      </c>
      <c r="L87" s="125"/>
      <c r="M87" s="292">
        <v>805</v>
      </c>
    </row>
    <row r="88" spans="1:13" s="18" customFormat="1" ht="18.95" customHeight="1">
      <c r="A88" s="124"/>
      <c r="B88" s="124"/>
      <c r="C88" s="40" t="s">
        <v>17</v>
      </c>
      <c r="D88" s="41">
        <f>D93+D98+D103+D108+D113+D118+D123+D128+D133+D138+D143</f>
        <v>505622.39999999997</v>
      </c>
      <c r="E88" s="42">
        <f>E93+E98+E103+E108+E113+E118+E123+E128+E133+E138+E143</f>
        <v>181797.39724999998</v>
      </c>
      <c r="F88" s="42">
        <f>F93+F98+F103+F108+F113+F118+F123+F128+F133+F138+F143</f>
        <v>156547.83235000001</v>
      </c>
      <c r="G88" s="45">
        <f t="shared" si="7"/>
        <v>0.30961411588964416</v>
      </c>
      <c r="H88" s="122"/>
      <c r="I88" s="65" t="s">
        <v>18</v>
      </c>
      <c r="J88" s="65">
        <f>COUNTIF($J$92:$J$146,"да")</f>
        <v>0</v>
      </c>
      <c r="K88" s="122"/>
      <c r="L88" s="126"/>
      <c r="M88" s="292"/>
    </row>
    <row r="89" spans="1:13" s="18" customFormat="1" ht="18.95" customHeight="1">
      <c r="A89" s="124"/>
      <c r="B89" s="124"/>
      <c r="C89" s="40" t="s">
        <v>19</v>
      </c>
      <c r="D89" s="41">
        <f>D94+D99+D104+D109+D114+D119+D124+D129+D134+D139+D144</f>
        <v>0</v>
      </c>
      <c r="E89" s="42">
        <f t="shared" ref="E89:F91" si="8">E94+E99+E104+E109+E114+E119+E124+E129+E134+E139+E144</f>
        <v>0</v>
      </c>
      <c r="F89" s="42">
        <f t="shared" si="8"/>
        <v>0</v>
      </c>
      <c r="G89" s="45">
        <f t="shared" si="7"/>
        <v>0</v>
      </c>
      <c r="H89" s="122"/>
      <c r="I89" s="65" t="s">
        <v>20</v>
      </c>
      <c r="J89" s="65">
        <f>COUNTIF($J$92:$J$146,"частично")</f>
        <v>2</v>
      </c>
      <c r="K89" s="122"/>
      <c r="L89" s="126"/>
      <c r="M89" s="292"/>
    </row>
    <row r="90" spans="1:13" s="18" customFormat="1" ht="18.95" customHeight="1">
      <c r="A90" s="124"/>
      <c r="B90" s="124"/>
      <c r="C90" s="40" t="s">
        <v>21</v>
      </c>
      <c r="D90" s="41">
        <v>0</v>
      </c>
      <c r="E90" s="42">
        <f t="shared" si="8"/>
        <v>0</v>
      </c>
      <c r="F90" s="42">
        <f t="shared" si="8"/>
        <v>0</v>
      </c>
      <c r="G90" s="45">
        <f t="shared" si="7"/>
        <v>0</v>
      </c>
      <c r="H90" s="122"/>
      <c r="I90" s="65" t="s">
        <v>22</v>
      </c>
      <c r="J90" s="65">
        <f>COUNTIF($J$92:$J$146,"нет")</f>
        <v>8</v>
      </c>
      <c r="K90" s="122"/>
      <c r="L90" s="126"/>
      <c r="M90" s="292"/>
    </row>
    <row r="91" spans="1:13" s="18" customFormat="1" ht="18.95" customHeight="1">
      <c r="A91" s="124"/>
      <c r="B91" s="124"/>
      <c r="C91" s="40" t="s">
        <v>31</v>
      </c>
      <c r="D91" s="41">
        <f>D96+D101+D106+D111+D116+D121+D126+D131+D136+D141+D146</f>
        <v>7283586.9999999991</v>
      </c>
      <c r="E91" s="42">
        <f t="shared" si="8"/>
        <v>3495803.4799999995</v>
      </c>
      <c r="F91" s="42">
        <f t="shared" si="8"/>
        <v>3495803.4799999995</v>
      </c>
      <c r="G91" s="45">
        <f t="shared" si="7"/>
        <v>0.47995630175077197</v>
      </c>
      <c r="H91" s="122"/>
      <c r="I91" s="65" t="s">
        <v>24</v>
      </c>
      <c r="J91" s="66">
        <f>IF(J87=0,0,(J88+J89*0.5)/J87)</f>
        <v>0.1</v>
      </c>
      <c r="K91" s="122"/>
      <c r="L91" s="127"/>
      <c r="M91" s="292"/>
    </row>
    <row r="92" spans="1:13" s="18" customFormat="1" ht="18.95" customHeight="1">
      <c r="A92" s="107" t="s">
        <v>75</v>
      </c>
      <c r="B92" s="107" t="s">
        <v>76</v>
      </c>
      <c r="C92" s="27" t="s">
        <v>14</v>
      </c>
      <c r="D92" s="28">
        <f>SUM(D93:D96)</f>
        <v>6276745.5</v>
      </c>
      <c r="E92" s="30">
        <f>SUM(E93:E96)</f>
        <v>3369460.88</v>
      </c>
      <c r="F92" s="30">
        <f>SUM(F93:F96)</f>
        <v>3369460.88</v>
      </c>
      <c r="G92" s="29">
        <f t="shared" si="7"/>
        <v>0.53681655246337456</v>
      </c>
      <c r="H92" s="216" t="s">
        <v>77</v>
      </c>
      <c r="I92" s="111" t="s">
        <v>745</v>
      </c>
      <c r="J92" s="111" t="s">
        <v>701</v>
      </c>
      <c r="K92" s="109" t="s">
        <v>78</v>
      </c>
      <c r="L92" s="257"/>
      <c r="M92" s="292">
        <v>805</v>
      </c>
    </row>
    <row r="93" spans="1:13" s="18" customFormat="1" ht="18.95" customHeight="1">
      <c r="A93" s="108"/>
      <c r="B93" s="108"/>
      <c r="C93" s="27" t="s">
        <v>17</v>
      </c>
      <c r="D93" s="28">
        <v>0</v>
      </c>
      <c r="E93" s="30">
        <v>0</v>
      </c>
      <c r="F93" s="30">
        <v>0</v>
      </c>
      <c r="G93" s="31">
        <f t="shared" si="7"/>
        <v>0</v>
      </c>
      <c r="H93" s="217"/>
      <c r="I93" s="112"/>
      <c r="J93" s="112"/>
      <c r="K93" s="110"/>
      <c r="L93" s="118"/>
      <c r="M93" s="292"/>
    </row>
    <row r="94" spans="1:13" s="18" customFormat="1" ht="18.95" customHeight="1">
      <c r="A94" s="108"/>
      <c r="B94" s="108"/>
      <c r="C94" s="27" t="s">
        <v>19</v>
      </c>
      <c r="D94" s="28">
        <v>0</v>
      </c>
      <c r="E94" s="30">
        <v>0</v>
      </c>
      <c r="F94" s="30">
        <v>0</v>
      </c>
      <c r="G94" s="31">
        <f t="shared" si="7"/>
        <v>0</v>
      </c>
      <c r="H94" s="217"/>
      <c r="I94" s="112"/>
      <c r="J94" s="112"/>
      <c r="K94" s="110"/>
      <c r="L94" s="118"/>
      <c r="M94" s="292"/>
    </row>
    <row r="95" spans="1:13" s="18" customFormat="1" ht="18.95" customHeight="1">
      <c r="A95" s="108"/>
      <c r="B95" s="108"/>
      <c r="C95" s="27" t="s">
        <v>21</v>
      </c>
      <c r="D95" s="28">
        <v>0</v>
      </c>
      <c r="E95" s="30">
        <v>0</v>
      </c>
      <c r="F95" s="30">
        <v>0</v>
      </c>
      <c r="G95" s="31">
        <f t="shared" si="7"/>
        <v>0</v>
      </c>
      <c r="H95" s="217"/>
      <c r="I95" s="112"/>
      <c r="J95" s="112"/>
      <c r="K95" s="110"/>
      <c r="L95" s="118"/>
      <c r="M95" s="292"/>
    </row>
    <row r="96" spans="1:13" s="18" customFormat="1" ht="18.95" customHeight="1">
      <c r="A96" s="108"/>
      <c r="B96" s="108"/>
      <c r="C96" s="27" t="s">
        <v>31</v>
      </c>
      <c r="D96" s="28">
        <v>6276745.5</v>
      </c>
      <c r="E96" s="30">
        <v>3369460.88</v>
      </c>
      <c r="F96" s="30">
        <v>3369460.88</v>
      </c>
      <c r="G96" s="31">
        <f t="shared" si="7"/>
        <v>0.53681655246337456</v>
      </c>
      <c r="H96" s="217"/>
      <c r="I96" s="113"/>
      <c r="J96" s="113"/>
      <c r="K96" s="110"/>
      <c r="L96" s="119"/>
      <c r="M96" s="292"/>
    </row>
    <row r="97" spans="1:13" s="18" customFormat="1" ht="18.95" customHeight="1">
      <c r="A97" s="107" t="s">
        <v>79</v>
      </c>
      <c r="B97" s="107" t="s">
        <v>37</v>
      </c>
      <c r="C97" s="27" t="s">
        <v>14</v>
      </c>
      <c r="D97" s="28">
        <f>SUM(D98:D101)</f>
        <v>268865.5</v>
      </c>
      <c r="E97" s="30">
        <f>SUM(E98:E101)</f>
        <v>135604.38459999999</v>
      </c>
      <c r="F97" s="30">
        <f>SUM(F98:F101)</f>
        <v>119888.03</v>
      </c>
      <c r="G97" s="29">
        <f t="shared" si="7"/>
        <v>0.44590336060223418</v>
      </c>
      <c r="H97" s="216" t="s">
        <v>80</v>
      </c>
      <c r="I97" s="111" t="s">
        <v>783</v>
      </c>
      <c r="J97" s="111" t="s">
        <v>701</v>
      </c>
      <c r="K97" s="109" t="s">
        <v>81</v>
      </c>
      <c r="L97" s="254" t="s">
        <v>82</v>
      </c>
      <c r="M97" s="292">
        <v>805</v>
      </c>
    </row>
    <row r="98" spans="1:13" s="18" customFormat="1" ht="18.95" customHeight="1">
      <c r="A98" s="108"/>
      <c r="B98" s="108"/>
      <c r="C98" s="27" t="s">
        <v>17</v>
      </c>
      <c r="D98" s="28">
        <f>268865.5</f>
        <v>268865.5</v>
      </c>
      <c r="E98" s="30">
        <v>135604.38459999999</v>
      </c>
      <c r="F98" s="30">
        <v>119888.03</v>
      </c>
      <c r="G98" s="31">
        <f t="shared" si="7"/>
        <v>0.44590336060223418</v>
      </c>
      <c r="H98" s="217"/>
      <c r="I98" s="112"/>
      <c r="J98" s="112"/>
      <c r="K98" s="110"/>
      <c r="L98" s="255"/>
      <c r="M98" s="292"/>
    </row>
    <row r="99" spans="1:13" s="18" customFormat="1" ht="18.95" customHeight="1">
      <c r="A99" s="108"/>
      <c r="B99" s="108"/>
      <c r="C99" s="27" t="s">
        <v>19</v>
      </c>
      <c r="D99" s="28">
        <v>0</v>
      </c>
      <c r="E99" s="30">
        <v>0</v>
      </c>
      <c r="F99" s="30">
        <v>0</v>
      </c>
      <c r="G99" s="31">
        <f t="shared" si="7"/>
        <v>0</v>
      </c>
      <c r="H99" s="217"/>
      <c r="I99" s="112"/>
      <c r="J99" s="112"/>
      <c r="K99" s="110"/>
      <c r="L99" s="255"/>
      <c r="M99" s="292"/>
    </row>
    <row r="100" spans="1:13" s="18" customFormat="1" ht="18.95" customHeight="1">
      <c r="A100" s="108"/>
      <c r="B100" s="108"/>
      <c r="C100" s="27" t="s">
        <v>21</v>
      </c>
      <c r="D100" s="28">
        <v>0</v>
      </c>
      <c r="E100" s="30">
        <v>0</v>
      </c>
      <c r="F100" s="30">
        <v>0</v>
      </c>
      <c r="G100" s="31">
        <f t="shared" si="7"/>
        <v>0</v>
      </c>
      <c r="H100" s="217"/>
      <c r="I100" s="112"/>
      <c r="J100" s="112"/>
      <c r="K100" s="110"/>
      <c r="L100" s="255"/>
      <c r="M100" s="292"/>
    </row>
    <row r="101" spans="1:13" s="18" customFormat="1" ht="18.95" customHeight="1">
      <c r="A101" s="108"/>
      <c r="B101" s="108"/>
      <c r="C101" s="27" t="s">
        <v>31</v>
      </c>
      <c r="D101" s="28">
        <v>0</v>
      </c>
      <c r="E101" s="30">
        <v>0</v>
      </c>
      <c r="F101" s="30">
        <v>0</v>
      </c>
      <c r="G101" s="31">
        <f t="shared" si="7"/>
        <v>0</v>
      </c>
      <c r="H101" s="217"/>
      <c r="I101" s="113"/>
      <c r="J101" s="113"/>
      <c r="K101" s="110"/>
      <c r="L101" s="256"/>
      <c r="M101" s="292"/>
    </row>
    <row r="102" spans="1:13" s="18" customFormat="1" ht="18.95" customHeight="1">
      <c r="A102" s="107" t="s">
        <v>83</v>
      </c>
      <c r="B102" s="107" t="s">
        <v>84</v>
      </c>
      <c r="C102" s="27" t="s">
        <v>14</v>
      </c>
      <c r="D102" s="28">
        <f>SUM(D103:D106)</f>
        <v>894890.8</v>
      </c>
      <c r="E102" s="30">
        <f>SUM(E103:E106)</f>
        <v>124859.5</v>
      </c>
      <c r="F102" s="30">
        <f>SUM(F103:F106)</f>
        <v>124859.5</v>
      </c>
      <c r="G102" s="29">
        <f t="shared" si="7"/>
        <v>0.139524844819055</v>
      </c>
      <c r="H102" s="216" t="s">
        <v>85</v>
      </c>
      <c r="I102" s="111" t="s">
        <v>746</v>
      </c>
      <c r="J102" s="111" t="s">
        <v>105</v>
      </c>
      <c r="K102" s="109" t="s">
        <v>86</v>
      </c>
      <c r="L102" s="254" t="s">
        <v>784</v>
      </c>
      <c r="M102" s="292">
        <v>805</v>
      </c>
    </row>
    <row r="103" spans="1:13" s="18" customFormat="1" ht="18.95" customHeight="1">
      <c r="A103" s="108"/>
      <c r="B103" s="108"/>
      <c r="C103" s="27" t="s">
        <v>17</v>
      </c>
      <c r="D103" s="28">
        <v>0</v>
      </c>
      <c r="E103" s="30">
        <v>0</v>
      </c>
      <c r="F103" s="30">
        <v>0</v>
      </c>
      <c r="G103" s="31">
        <f t="shared" si="7"/>
        <v>0</v>
      </c>
      <c r="H103" s="217"/>
      <c r="I103" s="112"/>
      <c r="J103" s="112"/>
      <c r="K103" s="110"/>
      <c r="L103" s="255"/>
      <c r="M103" s="292"/>
    </row>
    <row r="104" spans="1:13" s="18" customFormat="1" ht="18.95" customHeight="1">
      <c r="A104" s="108"/>
      <c r="B104" s="108"/>
      <c r="C104" s="27" t="s">
        <v>19</v>
      </c>
      <c r="D104" s="28">
        <v>0</v>
      </c>
      <c r="E104" s="30">
        <v>0</v>
      </c>
      <c r="F104" s="30">
        <v>0</v>
      </c>
      <c r="G104" s="31">
        <f t="shared" si="7"/>
        <v>0</v>
      </c>
      <c r="H104" s="217"/>
      <c r="I104" s="112"/>
      <c r="J104" s="112"/>
      <c r="K104" s="110"/>
      <c r="L104" s="255"/>
      <c r="M104" s="292"/>
    </row>
    <row r="105" spans="1:13" s="18" customFormat="1" ht="18.95" customHeight="1">
      <c r="A105" s="108"/>
      <c r="B105" s="108"/>
      <c r="C105" s="27" t="s">
        <v>21</v>
      </c>
      <c r="D105" s="28">
        <v>0</v>
      </c>
      <c r="E105" s="30">
        <v>0</v>
      </c>
      <c r="F105" s="30">
        <v>0</v>
      </c>
      <c r="G105" s="31">
        <f t="shared" si="7"/>
        <v>0</v>
      </c>
      <c r="H105" s="217"/>
      <c r="I105" s="112"/>
      <c r="J105" s="112"/>
      <c r="K105" s="110"/>
      <c r="L105" s="255"/>
      <c r="M105" s="292"/>
    </row>
    <row r="106" spans="1:13" s="18" customFormat="1" ht="18.95" customHeight="1">
      <c r="A106" s="108"/>
      <c r="B106" s="108"/>
      <c r="C106" s="27" t="s">
        <v>31</v>
      </c>
      <c r="D106" s="28">
        <v>894890.8</v>
      </c>
      <c r="E106" s="30">
        <v>124859.5</v>
      </c>
      <c r="F106" s="30">
        <v>124859.5</v>
      </c>
      <c r="G106" s="31">
        <f t="shared" si="7"/>
        <v>0.139524844819055</v>
      </c>
      <c r="H106" s="217"/>
      <c r="I106" s="113"/>
      <c r="J106" s="113"/>
      <c r="K106" s="110"/>
      <c r="L106" s="256"/>
      <c r="M106" s="292"/>
    </row>
    <row r="107" spans="1:13" s="18" customFormat="1" ht="18.95" customHeight="1">
      <c r="A107" s="107" t="s">
        <v>87</v>
      </c>
      <c r="B107" s="107" t="s">
        <v>88</v>
      </c>
      <c r="C107" s="27" t="s">
        <v>14</v>
      </c>
      <c r="D107" s="28">
        <f>SUM(D108:D111)</f>
        <v>26509.1</v>
      </c>
      <c r="E107" s="30">
        <f>SUM(E108:E111)</f>
        <v>874.50840000000005</v>
      </c>
      <c r="F107" s="30">
        <f>SUM(F108:F111)</f>
        <v>874.50840000000005</v>
      </c>
      <c r="G107" s="29">
        <f t="shared" si="7"/>
        <v>3.2988988686903746E-2</v>
      </c>
      <c r="H107" s="109" t="s">
        <v>89</v>
      </c>
      <c r="I107" s="117" t="s">
        <v>785</v>
      </c>
      <c r="J107" s="128" t="s">
        <v>105</v>
      </c>
      <c r="K107" s="245" t="s">
        <v>90</v>
      </c>
      <c r="L107" s="286" t="s">
        <v>786</v>
      </c>
      <c r="M107" s="292">
        <v>805</v>
      </c>
    </row>
    <row r="108" spans="1:13" s="18" customFormat="1" ht="18.95" customHeight="1">
      <c r="A108" s="108"/>
      <c r="B108" s="108"/>
      <c r="C108" s="27" t="s">
        <v>17</v>
      </c>
      <c r="D108" s="28">
        <v>26509.1</v>
      </c>
      <c r="E108" s="30">
        <v>874.50840000000005</v>
      </c>
      <c r="F108" s="30">
        <v>874.50840000000005</v>
      </c>
      <c r="G108" s="31">
        <f t="shared" si="7"/>
        <v>3.2988988686903746E-2</v>
      </c>
      <c r="H108" s="110"/>
      <c r="I108" s="118"/>
      <c r="J108" s="129"/>
      <c r="K108" s="246"/>
      <c r="L108" s="287"/>
      <c r="M108" s="292"/>
    </row>
    <row r="109" spans="1:13" s="18" customFormat="1" ht="18.95" customHeight="1">
      <c r="A109" s="108"/>
      <c r="B109" s="108"/>
      <c r="C109" s="27" t="s">
        <v>19</v>
      </c>
      <c r="D109" s="28">
        <v>0</v>
      </c>
      <c r="E109" s="30">
        <v>0</v>
      </c>
      <c r="F109" s="30">
        <v>0</v>
      </c>
      <c r="G109" s="31">
        <f t="shared" si="7"/>
        <v>0</v>
      </c>
      <c r="H109" s="110"/>
      <c r="I109" s="118"/>
      <c r="J109" s="129"/>
      <c r="K109" s="246"/>
      <c r="L109" s="287"/>
      <c r="M109" s="292"/>
    </row>
    <row r="110" spans="1:13" s="18" customFormat="1" ht="18.95" customHeight="1">
      <c r="A110" s="108"/>
      <c r="B110" s="108"/>
      <c r="C110" s="27" t="s">
        <v>21</v>
      </c>
      <c r="D110" s="28">
        <v>0</v>
      </c>
      <c r="E110" s="30">
        <v>0</v>
      </c>
      <c r="F110" s="30">
        <v>0</v>
      </c>
      <c r="G110" s="31">
        <f t="shared" si="7"/>
        <v>0</v>
      </c>
      <c r="H110" s="110"/>
      <c r="I110" s="118"/>
      <c r="J110" s="129"/>
      <c r="K110" s="246"/>
      <c r="L110" s="287"/>
      <c r="M110" s="292"/>
    </row>
    <row r="111" spans="1:13" s="18" customFormat="1" ht="18.95" customHeight="1">
      <c r="A111" s="108"/>
      <c r="B111" s="108"/>
      <c r="C111" s="27" t="s">
        <v>31</v>
      </c>
      <c r="D111" s="28">
        <v>0</v>
      </c>
      <c r="E111" s="30">
        <v>0</v>
      </c>
      <c r="F111" s="30">
        <v>0</v>
      </c>
      <c r="G111" s="31">
        <f t="shared" si="7"/>
        <v>0</v>
      </c>
      <c r="H111" s="110"/>
      <c r="I111" s="119"/>
      <c r="J111" s="130"/>
      <c r="K111" s="246"/>
      <c r="L111" s="288"/>
      <c r="M111" s="292"/>
    </row>
    <row r="112" spans="1:13" s="18" customFormat="1" ht="18.95" customHeight="1">
      <c r="A112" s="107" t="s">
        <v>91</v>
      </c>
      <c r="B112" s="107" t="s">
        <v>92</v>
      </c>
      <c r="C112" s="27" t="s">
        <v>14</v>
      </c>
      <c r="D112" s="28">
        <f>SUM(D113:D116)</f>
        <v>1829.8</v>
      </c>
      <c r="E112" s="30">
        <f>SUM(E113:E116)</f>
        <v>428.79732000000001</v>
      </c>
      <c r="F112" s="30">
        <f>SUM(F113:F116)</f>
        <v>225.54889</v>
      </c>
      <c r="G112" s="29">
        <f t="shared" si="7"/>
        <v>0.12326423106350422</v>
      </c>
      <c r="H112" s="109" t="s">
        <v>93</v>
      </c>
      <c r="I112" s="111" t="s">
        <v>689</v>
      </c>
      <c r="J112" s="111" t="s">
        <v>105</v>
      </c>
      <c r="K112" s="109" t="s">
        <v>94</v>
      </c>
      <c r="L112" s="117" t="s">
        <v>787</v>
      </c>
      <c r="M112" s="292">
        <v>805</v>
      </c>
    </row>
    <row r="113" spans="1:13" s="18" customFormat="1" ht="18.95" customHeight="1">
      <c r="A113" s="108"/>
      <c r="B113" s="108"/>
      <c r="C113" s="27" t="s">
        <v>17</v>
      </c>
      <c r="D113" s="28">
        <v>1829.8</v>
      </c>
      <c r="E113" s="30">
        <v>428.79732000000001</v>
      </c>
      <c r="F113" s="30">
        <v>225.54889</v>
      </c>
      <c r="G113" s="31">
        <f t="shared" si="7"/>
        <v>0.12326423106350422</v>
      </c>
      <c r="H113" s="110"/>
      <c r="I113" s="112"/>
      <c r="J113" s="112"/>
      <c r="K113" s="110"/>
      <c r="L113" s="118"/>
      <c r="M113" s="292"/>
    </row>
    <row r="114" spans="1:13" s="18" customFormat="1" ht="18.95" customHeight="1">
      <c r="A114" s="108"/>
      <c r="B114" s="108"/>
      <c r="C114" s="27" t="s">
        <v>19</v>
      </c>
      <c r="D114" s="28">
        <v>0</v>
      </c>
      <c r="E114" s="30">
        <v>0</v>
      </c>
      <c r="F114" s="30">
        <v>0</v>
      </c>
      <c r="G114" s="31">
        <f t="shared" si="7"/>
        <v>0</v>
      </c>
      <c r="H114" s="110"/>
      <c r="I114" s="112"/>
      <c r="J114" s="112"/>
      <c r="K114" s="110"/>
      <c r="L114" s="118"/>
      <c r="M114" s="292"/>
    </row>
    <row r="115" spans="1:13" s="18" customFormat="1" ht="18.95" customHeight="1">
      <c r="A115" s="108"/>
      <c r="B115" s="108"/>
      <c r="C115" s="27" t="s">
        <v>21</v>
      </c>
      <c r="D115" s="28">
        <v>0</v>
      </c>
      <c r="E115" s="30">
        <v>0</v>
      </c>
      <c r="F115" s="30">
        <v>0</v>
      </c>
      <c r="G115" s="31">
        <f t="shared" si="7"/>
        <v>0</v>
      </c>
      <c r="H115" s="110"/>
      <c r="I115" s="112"/>
      <c r="J115" s="112"/>
      <c r="K115" s="110"/>
      <c r="L115" s="118"/>
      <c r="M115" s="292"/>
    </row>
    <row r="116" spans="1:13" s="18" customFormat="1" ht="18.95" customHeight="1">
      <c r="A116" s="108"/>
      <c r="B116" s="108"/>
      <c r="C116" s="27" t="s">
        <v>31</v>
      </c>
      <c r="D116" s="28">
        <v>0</v>
      </c>
      <c r="E116" s="30">
        <v>0</v>
      </c>
      <c r="F116" s="30">
        <v>0</v>
      </c>
      <c r="G116" s="31">
        <f t="shared" si="7"/>
        <v>0</v>
      </c>
      <c r="H116" s="110"/>
      <c r="I116" s="113"/>
      <c r="J116" s="113"/>
      <c r="K116" s="110"/>
      <c r="L116" s="119"/>
      <c r="M116" s="292"/>
    </row>
    <row r="117" spans="1:13" s="18" customFormat="1" ht="18.95" customHeight="1">
      <c r="A117" s="107" t="s">
        <v>95</v>
      </c>
      <c r="B117" s="109" t="s">
        <v>96</v>
      </c>
      <c r="C117" s="27" t="s">
        <v>14</v>
      </c>
      <c r="D117" s="28">
        <f>SUM(D118:D121)</f>
        <v>111242.6</v>
      </c>
      <c r="E117" s="30">
        <f>SUM(E118:E121)</f>
        <v>1480.3</v>
      </c>
      <c r="F117" s="30">
        <f>SUM(F118:F121)</f>
        <v>1480.3</v>
      </c>
      <c r="G117" s="29">
        <f t="shared" si="7"/>
        <v>1.3306952552349548E-2</v>
      </c>
      <c r="H117" s="109" t="s">
        <v>97</v>
      </c>
      <c r="I117" s="111" t="s">
        <v>748</v>
      </c>
      <c r="J117" s="111" t="s">
        <v>105</v>
      </c>
      <c r="K117" s="109" t="s">
        <v>98</v>
      </c>
      <c r="L117" s="254" t="s">
        <v>747</v>
      </c>
      <c r="M117" s="292">
        <v>805</v>
      </c>
    </row>
    <row r="118" spans="1:13" s="18" customFormat="1" ht="18.95" customHeight="1">
      <c r="A118" s="108"/>
      <c r="B118" s="110"/>
      <c r="C118" s="27" t="s">
        <v>17</v>
      </c>
      <c r="D118" s="28">
        <v>0</v>
      </c>
      <c r="E118" s="30">
        <v>0</v>
      </c>
      <c r="F118" s="30">
        <v>0</v>
      </c>
      <c r="G118" s="31">
        <f t="shared" si="7"/>
        <v>0</v>
      </c>
      <c r="H118" s="110"/>
      <c r="I118" s="112"/>
      <c r="J118" s="112"/>
      <c r="K118" s="110"/>
      <c r="L118" s="255"/>
      <c r="M118" s="292"/>
    </row>
    <row r="119" spans="1:13" s="18" customFormat="1" ht="18.95" customHeight="1">
      <c r="A119" s="108"/>
      <c r="B119" s="110"/>
      <c r="C119" s="27" t="s">
        <v>19</v>
      </c>
      <c r="D119" s="28">
        <v>0</v>
      </c>
      <c r="E119" s="30">
        <v>0</v>
      </c>
      <c r="F119" s="30">
        <v>0</v>
      </c>
      <c r="G119" s="31">
        <f t="shared" si="7"/>
        <v>0</v>
      </c>
      <c r="H119" s="110"/>
      <c r="I119" s="112"/>
      <c r="J119" s="112"/>
      <c r="K119" s="110"/>
      <c r="L119" s="255"/>
      <c r="M119" s="292"/>
    </row>
    <row r="120" spans="1:13" s="18" customFormat="1" ht="18.95" customHeight="1">
      <c r="A120" s="108"/>
      <c r="B120" s="110"/>
      <c r="C120" s="27" t="s">
        <v>21</v>
      </c>
      <c r="D120" s="28">
        <v>0</v>
      </c>
      <c r="E120" s="30">
        <v>0</v>
      </c>
      <c r="F120" s="30">
        <v>0</v>
      </c>
      <c r="G120" s="31">
        <f t="shared" si="7"/>
        <v>0</v>
      </c>
      <c r="H120" s="110"/>
      <c r="I120" s="112"/>
      <c r="J120" s="112"/>
      <c r="K120" s="110"/>
      <c r="L120" s="255"/>
      <c r="M120" s="292"/>
    </row>
    <row r="121" spans="1:13" s="18" customFormat="1" ht="18.95" customHeight="1">
      <c r="A121" s="108"/>
      <c r="B121" s="110"/>
      <c r="C121" s="27" t="s">
        <v>31</v>
      </c>
      <c r="D121" s="28">
        <v>111242.6</v>
      </c>
      <c r="E121" s="30">
        <v>1480.3</v>
      </c>
      <c r="F121" s="30">
        <v>1480.3</v>
      </c>
      <c r="G121" s="31">
        <f t="shared" si="7"/>
        <v>1.3306952552349548E-2</v>
      </c>
      <c r="H121" s="110"/>
      <c r="I121" s="113"/>
      <c r="J121" s="113"/>
      <c r="K121" s="110"/>
      <c r="L121" s="256"/>
      <c r="M121" s="292"/>
    </row>
    <row r="122" spans="1:13" s="18" customFormat="1" ht="18.95" customHeight="1">
      <c r="A122" s="107" t="s">
        <v>99</v>
      </c>
      <c r="B122" s="109" t="s">
        <v>100</v>
      </c>
      <c r="C122" s="27" t="s">
        <v>14</v>
      </c>
      <c r="D122" s="28">
        <f>SUM(D123:D126)</f>
        <v>708.1</v>
      </c>
      <c r="E122" s="30">
        <f>SUM(E123:E126)</f>
        <v>2.8</v>
      </c>
      <c r="F122" s="30">
        <f>SUM(F123:F126)</f>
        <v>2.8</v>
      </c>
      <c r="G122" s="29">
        <f t="shared" si="7"/>
        <v>3.954243750882643E-3</v>
      </c>
      <c r="H122" s="109" t="s">
        <v>101</v>
      </c>
      <c r="I122" s="111" t="s">
        <v>749</v>
      </c>
      <c r="J122" s="111" t="s">
        <v>105</v>
      </c>
      <c r="K122" s="109" t="s">
        <v>98</v>
      </c>
      <c r="L122" s="104" t="s">
        <v>788</v>
      </c>
      <c r="M122" s="292">
        <v>805</v>
      </c>
    </row>
    <row r="123" spans="1:13" s="18" customFormat="1" ht="18.95" customHeight="1">
      <c r="A123" s="108"/>
      <c r="B123" s="110"/>
      <c r="C123" s="27" t="s">
        <v>17</v>
      </c>
      <c r="D123" s="28">
        <v>0</v>
      </c>
      <c r="E123" s="30">
        <v>0</v>
      </c>
      <c r="F123" s="30">
        <v>0</v>
      </c>
      <c r="G123" s="31">
        <f t="shared" si="7"/>
        <v>0</v>
      </c>
      <c r="H123" s="110"/>
      <c r="I123" s="112"/>
      <c r="J123" s="112"/>
      <c r="K123" s="110"/>
      <c r="L123" s="105"/>
      <c r="M123" s="292"/>
    </row>
    <row r="124" spans="1:13" s="18" customFormat="1" ht="18.95" customHeight="1">
      <c r="A124" s="108"/>
      <c r="B124" s="110"/>
      <c r="C124" s="27" t="s">
        <v>19</v>
      </c>
      <c r="D124" s="28">
        <v>0</v>
      </c>
      <c r="E124" s="30">
        <v>0</v>
      </c>
      <c r="F124" s="30">
        <v>0</v>
      </c>
      <c r="G124" s="31">
        <f t="shared" si="7"/>
        <v>0</v>
      </c>
      <c r="H124" s="110"/>
      <c r="I124" s="112"/>
      <c r="J124" s="112"/>
      <c r="K124" s="110"/>
      <c r="L124" s="105"/>
      <c r="M124" s="292"/>
    </row>
    <row r="125" spans="1:13" s="18" customFormat="1" ht="18.95" customHeight="1">
      <c r="A125" s="108"/>
      <c r="B125" s="110"/>
      <c r="C125" s="27" t="s">
        <v>21</v>
      </c>
      <c r="D125" s="28">
        <v>0</v>
      </c>
      <c r="E125" s="30">
        <v>0</v>
      </c>
      <c r="F125" s="30">
        <v>0</v>
      </c>
      <c r="G125" s="31">
        <f t="shared" si="7"/>
        <v>0</v>
      </c>
      <c r="H125" s="110"/>
      <c r="I125" s="112"/>
      <c r="J125" s="112"/>
      <c r="K125" s="110"/>
      <c r="L125" s="105"/>
      <c r="M125" s="292"/>
    </row>
    <row r="126" spans="1:13" s="18" customFormat="1" ht="18.95" customHeight="1">
      <c r="A126" s="108"/>
      <c r="B126" s="110"/>
      <c r="C126" s="27" t="s">
        <v>31</v>
      </c>
      <c r="D126" s="32">
        <v>708.1</v>
      </c>
      <c r="E126" s="30">
        <v>2.8</v>
      </c>
      <c r="F126" s="30">
        <v>2.8</v>
      </c>
      <c r="G126" s="31">
        <f t="shared" si="7"/>
        <v>3.954243750882643E-3</v>
      </c>
      <c r="H126" s="110"/>
      <c r="I126" s="113"/>
      <c r="J126" s="113"/>
      <c r="K126" s="110"/>
      <c r="L126" s="106"/>
      <c r="M126" s="292"/>
    </row>
    <row r="127" spans="1:13" s="18" customFormat="1" ht="18.95" customHeight="1">
      <c r="A127" s="107" t="s">
        <v>102</v>
      </c>
      <c r="B127" s="109" t="s">
        <v>103</v>
      </c>
      <c r="C127" s="27" t="s">
        <v>14</v>
      </c>
      <c r="D127" s="28">
        <f>SUM(D128:D131)</f>
        <v>144043.20000000001</v>
      </c>
      <c r="E127" s="30">
        <f>SUM(E128:E131)</f>
        <v>42267.70693</v>
      </c>
      <c r="F127" s="30">
        <f>SUM(F128:F131)</f>
        <v>33374.745060000001</v>
      </c>
      <c r="G127" s="29">
        <f>IF(D127&lt;&gt;0,F127/D127,0)</f>
        <v>0.23169955305075143</v>
      </c>
      <c r="H127" s="109" t="s">
        <v>104</v>
      </c>
      <c r="I127" s="250" t="s">
        <v>690</v>
      </c>
      <c r="J127" s="250" t="s">
        <v>105</v>
      </c>
      <c r="K127" s="109" t="s">
        <v>94</v>
      </c>
      <c r="L127" s="104" t="s">
        <v>789</v>
      </c>
      <c r="M127" s="292">
        <v>805</v>
      </c>
    </row>
    <row r="128" spans="1:13" s="18" customFormat="1" ht="18.95" customHeight="1">
      <c r="A128" s="108"/>
      <c r="B128" s="110"/>
      <c r="C128" s="27" t="s">
        <v>17</v>
      </c>
      <c r="D128" s="28">
        <v>144043.20000000001</v>
      </c>
      <c r="E128" s="30">
        <v>42267.70693</v>
      </c>
      <c r="F128" s="30">
        <v>33374.745060000001</v>
      </c>
      <c r="G128" s="31">
        <f>IF(D128&lt;&gt;0,F128/D128,0)</f>
        <v>0.23169955305075143</v>
      </c>
      <c r="H128" s="110"/>
      <c r="I128" s="251"/>
      <c r="J128" s="251"/>
      <c r="K128" s="110"/>
      <c r="L128" s="105"/>
      <c r="M128" s="292"/>
    </row>
    <row r="129" spans="1:13" s="18" customFormat="1" ht="18.95" customHeight="1">
      <c r="A129" s="108"/>
      <c r="B129" s="110"/>
      <c r="C129" s="27" t="s">
        <v>19</v>
      </c>
      <c r="D129" s="28">
        <v>0</v>
      </c>
      <c r="E129" s="30">
        <v>0</v>
      </c>
      <c r="F129" s="30">
        <v>0</v>
      </c>
      <c r="G129" s="31">
        <f>IF(D129&lt;&gt;0,F129/D129,0)</f>
        <v>0</v>
      </c>
      <c r="H129" s="110"/>
      <c r="I129" s="251"/>
      <c r="J129" s="251"/>
      <c r="K129" s="110"/>
      <c r="L129" s="105"/>
      <c r="M129" s="292"/>
    </row>
    <row r="130" spans="1:13" s="18" customFormat="1" ht="18.95" customHeight="1">
      <c r="A130" s="108"/>
      <c r="B130" s="110"/>
      <c r="C130" s="27" t="s">
        <v>21</v>
      </c>
      <c r="D130" s="28">
        <v>0</v>
      </c>
      <c r="E130" s="30">
        <v>0</v>
      </c>
      <c r="F130" s="30">
        <v>0</v>
      </c>
      <c r="G130" s="31">
        <f>IF(D130&lt;&gt;0,F130/D130,0)</f>
        <v>0</v>
      </c>
      <c r="H130" s="110"/>
      <c r="I130" s="251"/>
      <c r="J130" s="251"/>
      <c r="K130" s="110"/>
      <c r="L130" s="105"/>
      <c r="M130" s="292"/>
    </row>
    <row r="131" spans="1:13" s="18" customFormat="1" ht="18.95" customHeight="1">
      <c r="A131" s="108"/>
      <c r="B131" s="110"/>
      <c r="C131" s="27" t="s">
        <v>31</v>
      </c>
      <c r="D131" s="28">
        <v>0</v>
      </c>
      <c r="E131" s="30">
        <v>0</v>
      </c>
      <c r="F131" s="30">
        <v>0</v>
      </c>
      <c r="G131" s="31">
        <f>IF(D131&lt;&gt;0,F131/D131,0)</f>
        <v>0</v>
      </c>
      <c r="H131" s="110"/>
      <c r="I131" s="252"/>
      <c r="J131" s="252"/>
      <c r="K131" s="110"/>
      <c r="L131" s="106"/>
      <c r="M131" s="292"/>
    </row>
    <row r="132" spans="1:13" s="18" customFormat="1" ht="18.95" customHeight="1">
      <c r="A132" s="107" t="s">
        <v>106</v>
      </c>
      <c r="B132" s="109" t="s">
        <v>107</v>
      </c>
      <c r="C132" s="27" t="s">
        <v>14</v>
      </c>
      <c r="D132" s="28">
        <f>SUM(D133:D136)</f>
        <v>56508.800000000003</v>
      </c>
      <c r="E132" s="30">
        <f>SUM(E133:E136)</f>
        <v>0</v>
      </c>
      <c r="F132" s="30">
        <f>SUM(F133:F136)</f>
        <v>0</v>
      </c>
      <c r="G132" s="29">
        <f t="shared" si="7"/>
        <v>0</v>
      </c>
      <c r="H132" s="109" t="s">
        <v>108</v>
      </c>
      <c r="I132" s="253" t="s">
        <v>717</v>
      </c>
      <c r="J132" s="250" t="s">
        <v>105</v>
      </c>
      <c r="K132" s="109" t="s">
        <v>94</v>
      </c>
      <c r="L132" s="104" t="s">
        <v>789</v>
      </c>
      <c r="M132" s="292">
        <v>805</v>
      </c>
    </row>
    <row r="133" spans="1:13" s="18" customFormat="1" ht="18.95" customHeight="1">
      <c r="A133" s="108"/>
      <c r="B133" s="110"/>
      <c r="C133" s="27" t="s">
        <v>17</v>
      </c>
      <c r="D133" s="28">
        <v>56508.800000000003</v>
      </c>
      <c r="E133" s="30">
        <v>0</v>
      </c>
      <c r="F133" s="30">
        <v>0</v>
      </c>
      <c r="G133" s="31">
        <f t="shared" si="7"/>
        <v>0</v>
      </c>
      <c r="H133" s="110"/>
      <c r="I133" s="112"/>
      <c r="J133" s="251"/>
      <c r="K133" s="110"/>
      <c r="L133" s="105"/>
      <c r="M133" s="292"/>
    </row>
    <row r="134" spans="1:13" s="18" customFormat="1" ht="18.95" customHeight="1">
      <c r="A134" s="108"/>
      <c r="B134" s="110"/>
      <c r="C134" s="27" t="s">
        <v>19</v>
      </c>
      <c r="D134" s="28">
        <v>0</v>
      </c>
      <c r="E134" s="30">
        <v>0</v>
      </c>
      <c r="F134" s="30">
        <v>0</v>
      </c>
      <c r="G134" s="31">
        <f t="shared" si="7"/>
        <v>0</v>
      </c>
      <c r="H134" s="110"/>
      <c r="I134" s="112"/>
      <c r="J134" s="251"/>
      <c r="K134" s="110"/>
      <c r="L134" s="105"/>
      <c r="M134" s="292"/>
    </row>
    <row r="135" spans="1:13" s="18" customFormat="1" ht="18.95" customHeight="1">
      <c r="A135" s="108"/>
      <c r="B135" s="110"/>
      <c r="C135" s="27" t="s">
        <v>21</v>
      </c>
      <c r="D135" s="28">
        <v>0</v>
      </c>
      <c r="E135" s="30">
        <v>0</v>
      </c>
      <c r="F135" s="30">
        <v>0</v>
      </c>
      <c r="G135" s="31">
        <f t="shared" si="7"/>
        <v>0</v>
      </c>
      <c r="H135" s="110"/>
      <c r="I135" s="112"/>
      <c r="J135" s="251"/>
      <c r="K135" s="110"/>
      <c r="L135" s="105"/>
      <c r="M135" s="292"/>
    </row>
    <row r="136" spans="1:13" s="18" customFormat="1" ht="18.95" customHeight="1">
      <c r="A136" s="108"/>
      <c r="B136" s="110"/>
      <c r="C136" s="27" t="s">
        <v>31</v>
      </c>
      <c r="D136" s="28">
        <v>0</v>
      </c>
      <c r="E136" s="30">
        <v>0</v>
      </c>
      <c r="F136" s="30">
        <v>0</v>
      </c>
      <c r="G136" s="31">
        <f t="shared" si="7"/>
        <v>0</v>
      </c>
      <c r="H136" s="110"/>
      <c r="I136" s="113"/>
      <c r="J136" s="252"/>
      <c r="K136" s="110"/>
      <c r="L136" s="106"/>
      <c r="M136" s="292"/>
    </row>
    <row r="137" spans="1:13" s="18" customFormat="1" ht="18.95" hidden="1" customHeight="1">
      <c r="A137" s="107" t="s">
        <v>109</v>
      </c>
      <c r="B137" s="109" t="s">
        <v>110</v>
      </c>
      <c r="C137" s="27" t="s">
        <v>14</v>
      </c>
      <c r="D137" s="28">
        <f>SUM(D138:D141)</f>
        <v>0</v>
      </c>
      <c r="E137" s="30">
        <f>SUM(E138:E141)</f>
        <v>0</v>
      </c>
      <c r="F137" s="30">
        <f>SUM(F138:F141)</f>
        <v>0</v>
      </c>
      <c r="G137" s="29">
        <f t="shared" si="7"/>
        <v>0</v>
      </c>
      <c r="H137" s="109" t="s">
        <v>111</v>
      </c>
      <c r="I137" s="128"/>
      <c r="J137" s="111"/>
      <c r="K137" s="109" t="s">
        <v>94</v>
      </c>
      <c r="L137" s="104"/>
      <c r="M137" s="1"/>
    </row>
    <row r="138" spans="1:13" s="18" customFormat="1" ht="18.95" hidden="1" customHeight="1">
      <c r="A138" s="108"/>
      <c r="B138" s="110"/>
      <c r="C138" s="27" t="s">
        <v>17</v>
      </c>
      <c r="D138" s="28">
        <v>0</v>
      </c>
      <c r="E138" s="30">
        <v>0</v>
      </c>
      <c r="F138" s="30">
        <v>0</v>
      </c>
      <c r="G138" s="31">
        <f t="shared" si="7"/>
        <v>0</v>
      </c>
      <c r="H138" s="110"/>
      <c r="I138" s="129"/>
      <c r="J138" s="112"/>
      <c r="K138" s="110"/>
      <c r="L138" s="105"/>
      <c r="M138" s="1"/>
    </row>
    <row r="139" spans="1:13" s="18" customFormat="1" ht="18.95" hidden="1" customHeight="1">
      <c r="A139" s="108"/>
      <c r="B139" s="110"/>
      <c r="C139" s="27" t="s">
        <v>19</v>
      </c>
      <c r="D139" s="28">
        <v>0</v>
      </c>
      <c r="E139" s="30">
        <v>0</v>
      </c>
      <c r="F139" s="30">
        <v>0</v>
      </c>
      <c r="G139" s="31">
        <f t="shared" si="7"/>
        <v>0</v>
      </c>
      <c r="H139" s="110"/>
      <c r="I139" s="129"/>
      <c r="J139" s="112"/>
      <c r="K139" s="110"/>
      <c r="L139" s="105"/>
      <c r="M139" s="1"/>
    </row>
    <row r="140" spans="1:13" s="18" customFormat="1" ht="18.95" hidden="1" customHeight="1">
      <c r="A140" s="108"/>
      <c r="B140" s="110"/>
      <c r="C140" s="27" t="s">
        <v>21</v>
      </c>
      <c r="D140" s="28">
        <v>0</v>
      </c>
      <c r="E140" s="30">
        <v>0</v>
      </c>
      <c r="F140" s="30">
        <v>0</v>
      </c>
      <c r="G140" s="31">
        <f t="shared" si="7"/>
        <v>0</v>
      </c>
      <c r="H140" s="110"/>
      <c r="I140" s="129"/>
      <c r="J140" s="112"/>
      <c r="K140" s="110"/>
      <c r="L140" s="105"/>
      <c r="M140" s="1"/>
    </row>
    <row r="141" spans="1:13" s="18" customFormat="1" ht="18.95" hidden="1" customHeight="1">
      <c r="A141" s="108"/>
      <c r="B141" s="110"/>
      <c r="C141" s="27" t="s">
        <v>31</v>
      </c>
      <c r="D141" s="28">
        <v>0</v>
      </c>
      <c r="E141" s="30">
        <v>0</v>
      </c>
      <c r="F141" s="30">
        <v>0</v>
      </c>
      <c r="G141" s="31">
        <f t="shared" ref="G141:G204" si="9">IF(D141&lt;&gt;0,F141/D141,0)</f>
        <v>0</v>
      </c>
      <c r="H141" s="110"/>
      <c r="I141" s="130"/>
      <c r="J141" s="113"/>
      <c r="K141" s="110"/>
      <c r="L141" s="106"/>
      <c r="M141" s="1"/>
    </row>
    <row r="142" spans="1:13" s="18" customFormat="1" ht="18.95" customHeight="1">
      <c r="A142" s="107" t="s">
        <v>112</v>
      </c>
      <c r="B142" s="109" t="s">
        <v>113</v>
      </c>
      <c r="C142" s="27" t="s">
        <v>14</v>
      </c>
      <c r="D142" s="28">
        <f>SUM(D143:D146)</f>
        <v>7866</v>
      </c>
      <c r="E142" s="30">
        <f>SUM(E143:E146)</f>
        <v>2622</v>
      </c>
      <c r="F142" s="30">
        <f>SUM(F143:F146)</f>
        <v>2185</v>
      </c>
      <c r="G142" s="29">
        <f t="shared" si="7"/>
        <v>0.27777777777777779</v>
      </c>
      <c r="H142" s="218" t="s">
        <v>114</v>
      </c>
      <c r="I142" s="187" t="s">
        <v>823</v>
      </c>
      <c r="J142" s="249" t="s">
        <v>105</v>
      </c>
      <c r="K142" s="218" t="s">
        <v>94</v>
      </c>
      <c r="L142" s="111" t="s">
        <v>790</v>
      </c>
      <c r="M142" s="292">
        <v>805</v>
      </c>
    </row>
    <row r="143" spans="1:13" s="18" customFormat="1" ht="18.95" customHeight="1">
      <c r="A143" s="108"/>
      <c r="B143" s="110"/>
      <c r="C143" s="27" t="s">
        <v>17</v>
      </c>
      <c r="D143" s="28">
        <v>7866</v>
      </c>
      <c r="E143" s="30">
        <v>2622</v>
      </c>
      <c r="F143" s="30">
        <v>2185</v>
      </c>
      <c r="G143" s="31">
        <f t="shared" si="7"/>
        <v>0.27777777777777779</v>
      </c>
      <c r="H143" s="218"/>
      <c r="I143" s="187"/>
      <c r="J143" s="249"/>
      <c r="K143" s="218"/>
      <c r="L143" s="112"/>
      <c r="M143" s="292"/>
    </row>
    <row r="144" spans="1:13" s="18" customFormat="1" ht="18.95" customHeight="1">
      <c r="A144" s="108"/>
      <c r="B144" s="110"/>
      <c r="C144" s="27" t="s">
        <v>19</v>
      </c>
      <c r="D144" s="28">
        <v>0</v>
      </c>
      <c r="E144" s="30">
        <v>0</v>
      </c>
      <c r="F144" s="30">
        <v>0</v>
      </c>
      <c r="G144" s="31">
        <f t="shared" si="7"/>
        <v>0</v>
      </c>
      <c r="H144" s="218"/>
      <c r="I144" s="187"/>
      <c r="J144" s="249"/>
      <c r="K144" s="218"/>
      <c r="L144" s="112"/>
      <c r="M144" s="292"/>
    </row>
    <row r="145" spans="1:13" s="18" customFormat="1" ht="18.95" customHeight="1">
      <c r="A145" s="108"/>
      <c r="B145" s="110"/>
      <c r="C145" s="27" t="s">
        <v>21</v>
      </c>
      <c r="D145" s="28">
        <v>0</v>
      </c>
      <c r="E145" s="30">
        <v>0</v>
      </c>
      <c r="F145" s="30">
        <v>0</v>
      </c>
      <c r="G145" s="31">
        <f t="shared" si="7"/>
        <v>0</v>
      </c>
      <c r="H145" s="218"/>
      <c r="I145" s="187"/>
      <c r="J145" s="249"/>
      <c r="K145" s="218"/>
      <c r="L145" s="112"/>
      <c r="M145" s="292"/>
    </row>
    <row r="146" spans="1:13" s="18" customFormat="1" ht="18.75" customHeight="1">
      <c r="A146" s="108"/>
      <c r="B146" s="110"/>
      <c r="C146" s="27" t="s">
        <v>31</v>
      </c>
      <c r="D146" s="28">
        <v>0</v>
      </c>
      <c r="E146" s="30">
        <v>0</v>
      </c>
      <c r="F146" s="30">
        <v>0</v>
      </c>
      <c r="G146" s="31">
        <f t="shared" si="9"/>
        <v>0</v>
      </c>
      <c r="H146" s="218"/>
      <c r="I146" s="187"/>
      <c r="J146" s="249"/>
      <c r="K146" s="218"/>
      <c r="L146" s="113"/>
      <c r="M146" s="292"/>
    </row>
    <row r="147" spans="1:13" s="3" customFormat="1" ht="18.95" customHeight="1">
      <c r="A147" s="123" t="s">
        <v>115</v>
      </c>
      <c r="B147" s="123" t="s">
        <v>116</v>
      </c>
      <c r="C147" s="40" t="s">
        <v>14</v>
      </c>
      <c r="D147" s="41">
        <f>SUM(D148:D151)</f>
        <v>2005565.9</v>
      </c>
      <c r="E147" s="42">
        <f>SUM(E148:E151)</f>
        <v>1477437.03156</v>
      </c>
      <c r="F147" s="42">
        <f>SUM(F148:F151)</f>
        <v>1477437.03156</v>
      </c>
      <c r="G147" s="43">
        <f>IF(D142&lt;&gt;0,F147/D142,0)</f>
        <v>187.82570958047293</v>
      </c>
      <c r="H147" s="121" t="s">
        <v>117</v>
      </c>
      <c r="I147" s="65" t="s">
        <v>15</v>
      </c>
      <c r="J147" s="65">
        <f>SUM(J148:J150)</f>
        <v>6</v>
      </c>
      <c r="K147" s="121" t="s">
        <v>118</v>
      </c>
      <c r="L147" s="125"/>
      <c r="M147" s="292">
        <v>805</v>
      </c>
    </row>
    <row r="148" spans="1:13" s="3" customFormat="1" ht="18.95" customHeight="1">
      <c r="A148" s="124"/>
      <c r="B148" s="124"/>
      <c r="C148" s="40" t="s">
        <v>17</v>
      </c>
      <c r="D148" s="41">
        <f>D153+D158+D163+D168+D173+D178</f>
        <v>1782389.0999999999</v>
      </c>
      <c r="E148" s="47">
        <f>E153+E158+E163+E168+E173+E178</f>
        <v>1279723.81926</v>
      </c>
      <c r="F148" s="47">
        <f>F153+F158+F163+F168+F173+F178</f>
        <v>1279723.81926</v>
      </c>
      <c r="G148" s="45">
        <f>IF(D143&lt;&gt;0,F148/D143,0)</f>
        <v>162.6905440198322</v>
      </c>
      <c r="H148" s="122"/>
      <c r="I148" s="65" t="s">
        <v>18</v>
      </c>
      <c r="J148" s="65">
        <f>COUNTIF($J$152:$J$181,"да")</f>
        <v>0</v>
      </c>
      <c r="K148" s="122"/>
      <c r="L148" s="126"/>
      <c r="M148" s="292"/>
    </row>
    <row r="149" spans="1:13" s="3" customFormat="1" ht="18.95" customHeight="1">
      <c r="A149" s="124"/>
      <c r="B149" s="124"/>
      <c r="C149" s="40" t="s">
        <v>19</v>
      </c>
      <c r="D149" s="41">
        <f>D154+D159+D164+D169+D174+D179</f>
        <v>223176.80000000002</v>
      </c>
      <c r="E149" s="47">
        <f t="shared" ref="E149:F151" si="10">E154+E159+E164+E169+E174+E179</f>
        <v>197713.21229999998</v>
      </c>
      <c r="F149" s="47">
        <f t="shared" si="10"/>
        <v>197713.21229999998</v>
      </c>
      <c r="G149" s="45">
        <f>IF(D144&lt;&gt;0,F149/D144,0)</f>
        <v>0</v>
      </c>
      <c r="H149" s="122"/>
      <c r="I149" s="65" t="s">
        <v>20</v>
      </c>
      <c r="J149" s="65">
        <f>COUNTIF($J$152:$J$181,"частично")</f>
        <v>3</v>
      </c>
      <c r="K149" s="122"/>
      <c r="L149" s="126"/>
      <c r="M149" s="292"/>
    </row>
    <row r="150" spans="1:13" s="3" customFormat="1" ht="18.95" customHeight="1">
      <c r="A150" s="124"/>
      <c r="B150" s="124"/>
      <c r="C150" s="40" t="s">
        <v>21</v>
      </c>
      <c r="D150" s="41">
        <v>0</v>
      </c>
      <c r="E150" s="47">
        <f t="shared" si="10"/>
        <v>0</v>
      </c>
      <c r="F150" s="47">
        <f t="shared" si="10"/>
        <v>0</v>
      </c>
      <c r="G150" s="45">
        <f>IF(D145&lt;&gt;0,F150/D145,0)</f>
        <v>0</v>
      </c>
      <c r="H150" s="122"/>
      <c r="I150" s="65" t="s">
        <v>22</v>
      </c>
      <c r="J150" s="65">
        <f>COUNTIF($J$152:$J$181,"нет")</f>
        <v>3</v>
      </c>
      <c r="K150" s="122"/>
      <c r="L150" s="126"/>
      <c r="M150" s="292"/>
    </row>
    <row r="151" spans="1:13" s="3" customFormat="1" ht="18.95" customHeight="1">
      <c r="A151" s="124"/>
      <c r="B151" s="124"/>
      <c r="C151" s="40" t="s">
        <v>31</v>
      </c>
      <c r="D151" s="41">
        <f>D156+D161+D166+D171+D176+D181</f>
        <v>0</v>
      </c>
      <c r="E151" s="47">
        <f t="shared" si="10"/>
        <v>0</v>
      </c>
      <c r="F151" s="47">
        <f t="shared" si="10"/>
        <v>0</v>
      </c>
      <c r="G151" s="45">
        <f>IF(D146&lt;&gt;0,F151/D146,0)</f>
        <v>0</v>
      </c>
      <c r="H151" s="122"/>
      <c r="I151" s="65" t="s">
        <v>24</v>
      </c>
      <c r="J151" s="66">
        <f>IF(J147=0,0,(J148+J149*0.5)/J147)</f>
        <v>0.25</v>
      </c>
      <c r="K151" s="122"/>
      <c r="L151" s="127"/>
      <c r="M151" s="292"/>
    </row>
    <row r="152" spans="1:13" s="3" customFormat="1" ht="18.95" customHeight="1">
      <c r="A152" s="107" t="s">
        <v>119</v>
      </c>
      <c r="B152" s="107" t="s">
        <v>120</v>
      </c>
      <c r="C152" s="27" t="s">
        <v>14</v>
      </c>
      <c r="D152" s="28">
        <f>SUM(D153:D156)</f>
        <v>1839981.2999999998</v>
      </c>
      <c r="E152" s="30">
        <f>SUM(E153:E156)</f>
        <v>1333369.81926</v>
      </c>
      <c r="F152" s="30">
        <f>SUM(F153:F156)</f>
        <v>1333369.81926</v>
      </c>
      <c r="G152" s="29">
        <f>IF(D152&lt;&gt;0,F152/D152,0)</f>
        <v>0.72466487526802592</v>
      </c>
      <c r="H152" s="109" t="s">
        <v>121</v>
      </c>
      <c r="I152" s="111" t="s">
        <v>697</v>
      </c>
      <c r="J152" s="111" t="s">
        <v>701</v>
      </c>
      <c r="K152" s="109" t="s">
        <v>118</v>
      </c>
      <c r="L152" s="236" t="s">
        <v>717</v>
      </c>
      <c r="M152" s="293">
        <v>805</v>
      </c>
    </row>
    <row r="153" spans="1:13" s="3" customFormat="1" ht="18.95" customHeight="1">
      <c r="A153" s="108"/>
      <c r="B153" s="108"/>
      <c r="C153" s="27" t="s">
        <v>17</v>
      </c>
      <c r="D153" s="28">
        <f>1646740.2+4274.7-96</f>
        <v>1650918.9</v>
      </c>
      <c r="E153" s="30">
        <v>1161653.4192600001</v>
      </c>
      <c r="F153" s="30">
        <v>1161653.4192600001</v>
      </c>
      <c r="G153" s="31">
        <f>IF(D153&lt;&gt;0,F153/D153,0)</f>
        <v>0.70364051151149831</v>
      </c>
      <c r="H153" s="110"/>
      <c r="I153" s="112"/>
      <c r="J153" s="112"/>
      <c r="K153" s="110"/>
      <c r="L153" s="237"/>
      <c r="M153" s="293"/>
    </row>
    <row r="154" spans="1:13" s="3" customFormat="1" ht="18.95" customHeight="1">
      <c r="A154" s="108"/>
      <c r="B154" s="108"/>
      <c r="C154" s="27" t="s">
        <v>19</v>
      </c>
      <c r="D154" s="28">
        <v>189062.39999999999</v>
      </c>
      <c r="E154" s="30">
        <v>171716.4</v>
      </c>
      <c r="F154" s="30">
        <v>171716.4</v>
      </c>
      <c r="G154" s="31">
        <f>IF(D154&lt;&gt;0,F154/D154,0)</f>
        <v>0.90825251345587488</v>
      </c>
      <c r="H154" s="110"/>
      <c r="I154" s="112"/>
      <c r="J154" s="112"/>
      <c r="K154" s="110"/>
      <c r="L154" s="237"/>
      <c r="M154" s="293"/>
    </row>
    <row r="155" spans="1:13" s="3" customFormat="1" ht="18.95" customHeight="1">
      <c r="A155" s="108"/>
      <c r="B155" s="108"/>
      <c r="C155" s="27" t="s">
        <v>21</v>
      </c>
      <c r="D155" s="28">
        <v>0</v>
      </c>
      <c r="E155" s="30">
        <v>0</v>
      </c>
      <c r="F155" s="30">
        <v>0</v>
      </c>
      <c r="G155" s="31">
        <f>IF(D155&lt;&gt;0,F155/D155,0)</f>
        <v>0</v>
      </c>
      <c r="H155" s="110"/>
      <c r="I155" s="112"/>
      <c r="J155" s="112"/>
      <c r="K155" s="110"/>
      <c r="L155" s="237"/>
      <c r="M155" s="293"/>
    </row>
    <row r="156" spans="1:13" s="3" customFormat="1" ht="18.95" customHeight="1">
      <c r="A156" s="108"/>
      <c r="B156" s="108"/>
      <c r="C156" s="27" t="s">
        <v>31</v>
      </c>
      <c r="D156" s="28">
        <v>0</v>
      </c>
      <c r="E156" s="30">
        <v>0</v>
      </c>
      <c r="F156" s="30">
        <v>0</v>
      </c>
      <c r="G156" s="31">
        <f>IF(D156&lt;&gt;0,F156/D156,0)</f>
        <v>0</v>
      </c>
      <c r="H156" s="110"/>
      <c r="I156" s="113"/>
      <c r="J156" s="113"/>
      <c r="K156" s="110"/>
      <c r="L156" s="238"/>
      <c r="M156" s="293"/>
    </row>
    <row r="157" spans="1:13" s="3" customFormat="1" ht="18.95" customHeight="1">
      <c r="A157" s="107" t="s">
        <v>122</v>
      </c>
      <c r="B157" s="247" t="s">
        <v>123</v>
      </c>
      <c r="C157" s="27" t="s">
        <v>14</v>
      </c>
      <c r="D157" s="28">
        <f>SUM(D158:D161)</f>
        <v>4173.7</v>
      </c>
      <c r="E157" s="30">
        <f>SUM(E158:E161)</f>
        <v>582.77850000000001</v>
      </c>
      <c r="F157" s="30">
        <f>SUM(F158:F161)</f>
        <v>582.77850000000001</v>
      </c>
      <c r="G157" s="29">
        <f t="shared" si="9"/>
        <v>0.13963114263123846</v>
      </c>
      <c r="H157" s="109" t="s">
        <v>124</v>
      </c>
      <c r="I157" s="111" t="s">
        <v>700</v>
      </c>
      <c r="J157" s="111" t="s">
        <v>105</v>
      </c>
      <c r="K157" s="109" t="s">
        <v>118</v>
      </c>
      <c r="L157" s="104" t="s">
        <v>791</v>
      </c>
      <c r="M157" s="292">
        <v>805</v>
      </c>
    </row>
    <row r="158" spans="1:13" s="3" customFormat="1" ht="18.95" customHeight="1">
      <c r="A158" s="108"/>
      <c r="B158" s="248"/>
      <c r="C158" s="27" t="s">
        <v>17</v>
      </c>
      <c r="D158" s="28">
        <v>0</v>
      </c>
      <c r="E158" s="30">
        <v>0</v>
      </c>
      <c r="F158" s="30">
        <v>0</v>
      </c>
      <c r="G158" s="31">
        <f t="shared" si="9"/>
        <v>0</v>
      </c>
      <c r="H158" s="110"/>
      <c r="I158" s="112"/>
      <c r="J158" s="112"/>
      <c r="K158" s="110"/>
      <c r="L158" s="105"/>
      <c r="M158" s="292"/>
    </row>
    <row r="159" spans="1:13" s="3" customFormat="1" ht="18.95" customHeight="1">
      <c r="A159" s="108"/>
      <c r="B159" s="248"/>
      <c r="C159" s="27" t="s">
        <v>19</v>
      </c>
      <c r="D159" s="28">
        <f>3640.3+533.4</f>
        <v>4173.7</v>
      </c>
      <c r="E159" s="30">
        <v>582.77850000000001</v>
      </c>
      <c r="F159" s="30">
        <v>582.77850000000001</v>
      </c>
      <c r="G159" s="31">
        <f t="shared" si="9"/>
        <v>0.13963114263123846</v>
      </c>
      <c r="H159" s="110"/>
      <c r="I159" s="112"/>
      <c r="J159" s="112"/>
      <c r="K159" s="110"/>
      <c r="L159" s="105"/>
      <c r="M159" s="292"/>
    </row>
    <row r="160" spans="1:13" s="3" customFormat="1" ht="18.95" customHeight="1">
      <c r="A160" s="108"/>
      <c r="B160" s="248"/>
      <c r="C160" s="27" t="s">
        <v>21</v>
      </c>
      <c r="D160" s="28">
        <v>0</v>
      </c>
      <c r="E160" s="30">
        <v>0</v>
      </c>
      <c r="F160" s="30">
        <v>0</v>
      </c>
      <c r="G160" s="31">
        <f t="shared" si="9"/>
        <v>0</v>
      </c>
      <c r="H160" s="110"/>
      <c r="I160" s="112"/>
      <c r="J160" s="112"/>
      <c r="K160" s="110"/>
      <c r="L160" s="105"/>
      <c r="M160" s="292"/>
    </row>
    <row r="161" spans="1:13" s="3" customFormat="1" ht="18.95" customHeight="1">
      <c r="A161" s="108"/>
      <c r="B161" s="248"/>
      <c r="C161" s="27" t="s">
        <v>31</v>
      </c>
      <c r="D161" s="28">
        <v>0</v>
      </c>
      <c r="E161" s="30">
        <v>0</v>
      </c>
      <c r="F161" s="30">
        <v>0</v>
      </c>
      <c r="G161" s="31">
        <f t="shared" si="9"/>
        <v>0</v>
      </c>
      <c r="H161" s="110"/>
      <c r="I161" s="113"/>
      <c r="J161" s="113"/>
      <c r="K161" s="110"/>
      <c r="L161" s="106"/>
      <c r="M161" s="292"/>
    </row>
    <row r="162" spans="1:13" s="3" customFormat="1" ht="18.95" customHeight="1">
      <c r="A162" s="107" t="s">
        <v>125</v>
      </c>
      <c r="B162" s="107" t="s">
        <v>126</v>
      </c>
      <c r="C162" s="27" t="s">
        <v>14</v>
      </c>
      <c r="D162" s="28">
        <f>SUM(D163:D166)</f>
        <v>4169.7</v>
      </c>
      <c r="E162" s="30">
        <f>SUM(E163:E166)</f>
        <v>2242.6666</v>
      </c>
      <c r="F162" s="30">
        <f>SUM(F163:F166)</f>
        <v>2242.6666</v>
      </c>
      <c r="G162" s="29">
        <f t="shared" si="9"/>
        <v>0.53784843034271057</v>
      </c>
      <c r="H162" s="109" t="s">
        <v>127</v>
      </c>
      <c r="I162" s="111" t="s">
        <v>698</v>
      </c>
      <c r="J162" s="111" t="s">
        <v>701</v>
      </c>
      <c r="K162" s="109" t="s">
        <v>118</v>
      </c>
      <c r="L162" s="104" t="s">
        <v>717</v>
      </c>
      <c r="M162" s="293">
        <v>805</v>
      </c>
    </row>
    <row r="163" spans="1:13" s="3" customFormat="1" ht="18.95" customHeight="1">
      <c r="A163" s="108"/>
      <c r="B163" s="108"/>
      <c r="C163" s="27" t="s">
        <v>17</v>
      </c>
      <c r="D163" s="28">
        <v>0</v>
      </c>
      <c r="E163" s="30">
        <v>0</v>
      </c>
      <c r="F163" s="30">
        <v>0</v>
      </c>
      <c r="G163" s="31">
        <f t="shared" si="9"/>
        <v>0</v>
      </c>
      <c r="H163" s="110"/>
      <c r="I163" s="112"/>
      <c r="J163" s="112"/>
      <c r="K163" s="110"/>
      <c r="L163" s="105"/>
      <c r="M163" s="293"/>
    </row>
    <row r="164" spans="1:13" s="3" customFormat="1" ht="18.95" customHeight="1">
      <c r="A164" s="108"/>
      <c r="B164" s="108"/>
      <c r="C164" s="27" t="s">
        <v>19</v>
      </c>
      <c r="D164" s="28">
        <v>4169.7</v>
      </c>
      <c r="E164" s="30">
        <v>2242.6666</v>
      </c>
      <c r="F164" s="30">
        <v>2242.6666</v>
      </c>
      <c r="G164" s="31">
        <f t="shared" si="9"/>
        <v>0.53784843034271057</v>
      </c>
      <c r="H164" s="110"/>
      <c r="I164" s="112"/>
      <c r="J164" s="112"/>
      <c r="K164" s="110"/>
      <c r="L164" s="105"/>
      <c r="M164" s="293"/>
    </row>
    <row r="165" spans="1:13" s="3" customFormat="1" ht="18.95" customHeight="1">
      <c r="A165" s="108"/>
      <c r="B165" s="108"/>
      <c r="C165" s="27" t="s">
        <v>21</v>
      </c>
      <c r="D165" s="28">
        <v>0</v>
      </c>
      <c r="E165" s="30">
        <v>0</v>
      </c>
      <c r="F165" s="30">
        <v>0</v>
      </c>
      <c r="G165" s="31">
        <f t="shared" si="9"/>
        <v>0</v>
      </c>
      <c r="H165" s="110"/>
      <c r="I165" s="112"/>
      <c r="J165" s="112"/>
      <c r="K165" s="110"/>
      <c r="L165" s="105"/>
      <c r="M165" s="293"/>
    </row>
    <row r="166" spans="1:13" s="3" customFormat="1" ht="18.95" customHeight="1">
      <c r="A166" s="108"/>
      <c r="B166" s="108"/>
      <c r="C166" s="27" t="s">
        <v>31</v>
      </c>
      <c r="D166" s="28">
        <v>0</v>
      </c>
      <c r="E166" s="30">
        <v>0</v>
      </c>
      <c r="F166" s="30">
        <v>0</v>
      </c>
      <c r="G166" s="31">
        <f t="shared" si="9"/>
        <v>0</v>
      </c>
      <c r="H166" s="110"/>
      <c r="I166" s="113"/>
      <c r="J166" s="113"/>
      <c r="K166" s="110"/>
      <c r="L166" s="106"/>
      <c r="M166" s="293"/>
    </row>
    <row r="167" spans="1:13" s="3" customFormat="1" ht="18.95" customHeight="1">
      <c r="A167" s="107" t="s">
        <v>128</v>
      </c>
      <c r="B167" s="107" t="s">
        <v>129</v>
      </c>
      <c r="C167" s="27" t="s">
        <v>14</v>
      </c>
      <c r="D167" s="28">
        <f>SUM(D168:D171)</f>
        <v>143841.4</v>
      </c>
      <c r="E167" s="30">
        <f>SUM(E168:E171)</f>
        <v>141241.7672</v>
      </c>
      <c r="F167" s="30">
        <f>SUM(F168:F171)</f>
        <v>141241.7672</v>
      </c>
      <c r="G167" s="29">
        <f t="shared" si="9"/>
        <v>0.98192708914123472</v>
      </c>
      <c r="H167" s="109" t="s">
        <v>130</v>
      </c>
      <c r="I167" s="111" t="s">
        <v>699</v>
      </c>
      <c r="J167" s="128" t="s">
        <v>701</v>
      </c>
      <c r="K167" s="245" t="s">
        <v>118</v>
      </c>
      <c r="L167" s="117" t="s">
        <v>839</v>
      </c>
      <c r="M167" s="292">
        <v>805</v>
      </c>
    </row>
    <row r="168" spans="1:13" s="3" customFormat="1" ht="18.95" customHeight="1">
      <c r="A168" s="108"/>
      <c r="B168" s="108"/>
      <c r="C168" s="27" t="s">
        <v>17</v>
      </c>
      <c r="D168" s="32">
        <v>118070.39999999999</v>
      </c>
      <c r="E168" s="71">
        <v>118070.39999999999</v>
      </c>
      <c r="F168" s="71">
        <v>118070.39999999999</v>
      </c>
      <c r="G168" s="31">
        <f t="shared" si="9"/>
        <v>1</v>
      </c>
      <c r="H168" s="110"/>
      <c r="I168" s="112"/>
      <c r="J168" s="129"/>
      <c r="K168" s="246"/>
      <c r="L168" s="118"/>
      <c r="M168" s="292"/>
    </row>
    <row r="169" spans="1:13" s="3" customFormat="1" ht="18.95" customHeight="1">
      <c r="A169" s="108"/>
      <c r="B169" s="108"/>
      <c r="C169" s="27" t="s">
        <v>19</v>
      </c>
      <c r="D169" s="28">
        <v>25771</v>
      </c>
      <c r="E169" s="71">
        <v>23171.367200000001</v>
      </c>
      <c r="F169" s="71">
        <v>23171.367200000001</v>
      </c>
      <c r="G169" s="31">
        <f t="shared" si="9"/>
        <v>0.89912565286562418</v>
      </c>
      <c r="H169" s="110"/>
      <c r="I169" s="112"/>
      <c r="J169" s="129"/>
      <c r="K169" s="246"/>
      <c r="L169" s="118"/>
      <c r="M169" s="292"/>
    </row>
    <row r="170" spans="1:13" s="3" customFormat="1" ht="18.95" customHeight="1">
      <c r="A170" s="108"/>
      <c r="B170" s="108"/>
      <c r="C170" s="27" t="s">
        <v>21</v>
      </c>
      <c r="D170" s="28">
        <v>0</v>
      </c>
      <c r="E170" s="30">
        <v>0</v>
      </c>
      <c r="F170" s="30">
        <v>0</v>
      </c>
      <c r="G170" s="31">
        <f t="shared" si="9"/>
        <v>0</v>
      </c>
      <c r="H170" s="110"/>
      <c r="I170" s="112"/>
      <c r="J170" s="129"/>
      <c r="K170" s="246"/>
      <c r="L170" s="118"/>
      <c r="M170" s="292"/>
    </row>
    <row r="171" spans="1:13" s="3" customFormat="1" ht="18.95" customHeight="1">
      <c r="A171" s="108"/>
      <c r="B171" s="108"/>
      <c r="C171" s="27" t="s">
        <v>31</v>
      </c>
      <c r="D171" s="28">
        <v>0</v>
      </c>
      <c r="E171" s="30">
        <v>0</v>
      </c>
      <c r="F171" s="30">
        <v>0</v>
      </c>
      <c r="G171" s="31">
        <f t="shared" si="9"/>
        <v>0</v>
      </c>
      <c r="H171" s="110"/>
      <c r="I171" s="113"/>
      <c r="J171" s="130"/>
      <c r="K171" s="246"/>
      <c r="L171" s="119"/>
      <c r="M171" s="292"/>
    </row>
    <row r="172" spans="1:13" s="3" customFormat="1" ht="18.95" customHeight="1">
      <c r="A172" s="107" t="s">
        <v>131</v>
      </c>
      <c r="B172" s="107" t="s">
        <v>37</v>
      </c>
      <c r="C172" s="27" t="s">
        <v>14</v>
      </c>
      <c r="D172" s="28">
        <f>SUM(D173:D176)</f>
        <v>13303.8</v>
      </c>
      <c r="E172" s="30">
        <f>SUM(E173:E176)</f>
        <v>0</v>
      </c>
      <c r="F172" s="30">
        <f>SUM(F173:F176)</f>
        <v>0</v>
      </c>
      <c r="G172" s="29">
        <f t="shared" si="9"/>
        <v>0</v>
      </c>
      <c r="H172" s="109" t="s">
        <v>132</v>
      </c>
      <c r="I172" s="111" t="s">
        <v>717</v>
      </c>
      <c r="J172" s="111" t="s">
        <v>105</v>
      </c>
      <c r="K172" s="109" t="s">
        <v>133</v>
      </c>
      <c r="L172" s="128" t="s">
        <v>792</v>
      </c>
      <c r="M172" s="293">
        <v>805</v>
      </c>
    </row>
    <row r="173" spans="1:13" s="3" customFormat="1" ht="18.95" customHeight="1">
      <c r="A173" s="108"/>
      <c r="B173" s="108"/>
      <c r="C173" s="27" t="s">
        <v>17</v>
      </c>
      <c r="D173" s="28">
        <v>13303.8</v>
      </c>
      <c r="E173" s="30">
        <v>0</v>
      </c>
      <c r="F173" s="30">
        <v>0</v>
      </c>
      <c r="G173" s="31">
        <f t="shared" si="9"/>
        <v>0</v>
      </c>
      <c r="H173" s="110"/>
      <c r="I173" s="112"/>
      <c r="J173" s="112"/>
      <c r="K173" s="110"/>
      <c r="L173" s="129"/>
      <c r="M173" s="293"/>
    </row>
    <row r="174" spans="1:13" s="3" customFormat="1" ht="18.95" customHeight="1">
      <c r="A174" s="108"/>
      <c r="B174" s="108"/>
      <c r="C174" s="27" t="s">
        <v>19</v>
      </c>
      <c r="D174" s="28">
        <v>0</v>
      </c>
      <c r="E174" s="30">
        <v>0</v>
      </c>
      <c r="F174" s="30">
        <v>0</v>
      </c>
      <c r="G174" s="31">
        <f t="shared" si="9"/>
        <v>0</v>
      </c>
      <c r="H174" s="110"/>
      <c r="I174" s="112"/>
      <c r="J174" s="112"/>
      <c r="K174" s="110"/>
      <c r="L174" s="129"/>
      <c r="M174" s="293"/>
    </row>
    <row r="175" spans="1:13" s="3" customFormat="1" ht="18.95" customHeight="1">
      <c r="A175" s="108"/>
      <c r="B175" s="108"/>
      <c r="C175" s="27" t="s">
        <v>21</v>
      </c>
      <c r="D175" s="28">
        <v>0</v>
      </c>
      <c r="E175" s="30">
        <v>0</v>
      </c>
      <c r="F175" s="30">
        <v>0</v>
      </c>
      <c r="G175" s="31">
        <f t="shared" si="9"/>
        <v>0</v>
      </c>
      <c r="H175" s="110"/>
      <c r="I175" s="112"/>
      <c r="J175" s="112"/>
      <c r="K175" s="110"/>
      <c r="L175" s="129"/>
      <c r="M175" s="293"/>
    </row>
    <row r="176" spans="1:13" s="3" customFormat="1" ht="18.95" customHeight="1">
      <c r="A176" s="108"/>
      <c r="B176" s="108"/>
      <c r="C176" s="27" t="s">
        <v>31</v>
      </c>
      <c r="D176" s="28">
        <v>0</v>
      </c>
      <c r="E176" s="30">
        <v>0</v>
      </c>
      <c r="F176" s="30">
        <v>0</v>
      </c>
      <c r="G176" s="31">
        <f t="shared" si="9"/>
        <v>0</v>
      </c>
      <c r="H176" s="110"/>
      <c r="I176" s="113"/>
      <c r="J176" s="113"/>
      <c r="K176" s="110"/>
      <c r="L176" s="130"/>
      <c r="M176" s="293"/>
    </row>
    <row r="177" spans="1:13" s="3" customFormat="1" ht="18.95" customHeight="1">
      <c r="A177" s="107" t="s">
        <v>134</v>
      </c>
      <c r="B177" s="107" t="s">
        <v>135</v>
      </c>
      <c r="C177" s="27" t="s">
        <v>14</v>
      </c>
      <c r="D177" s="28">
        <f>SUM(D178:D181)</f>
        <v>96</v>
      </c>
      <c r="E177" s="30">
        <f>SUM(E178:E181)</f>
        <v>0</v>
      </c>
      <c r="F177" s="30">
        <f>SUM(F178:F181)</f>
        <v>0</v>
      </c>
      <c r="G177" s="29">
        <f t="shared" si="9"/>
        <v>0</v>
      </c>
      <c r="H177" s="109" t="s">
        <v>136</v>
      </c>
      <c r="I177" s="128" t="s">
        <v>824</v>
      </c>
      <c r="J177" s="111" t="s">
        <v>105</v>
      </c>
      <c r="K177" s="109" t="s">
        <v>137</v>
      </c>
      <c r="L177" s="104" t="s">
        <v>703</v>
      </c>
      <c r="M177" s="292">
        <v>805</v>
      </c>
    </row>
    <row r="178" spans="1:13" s="3" customFormat="1" ht="18.95" customHeight="1">
      <c r="A178" s="108"/>
      <c r="B178" s="108"/>
      <c r="C178" s="27" t="s">
        <v>17</v>
      </c>
      <c r="D178" s="28">
        <v>96</v>
      </c>
      <c r="E178" s="30">
        <v>0</v>
      </c>
      <c r="F178" s="30">
        <v>0</v>
      </c>
      <c r="G178" s="31">
        <f t="shared" si="9"/>
        <v>0</v>
      </c>
      <c r="H178" s="110"/>
      <c r="I178" s="129"/>
      <c r="J178" s="112"/>
      <c r="K178" s="110"/>
      <c r="L178" s="105"/>
      <c r="M178" s="292"/>
    </row>
    <row r="179" spans="1:13" s="3" customFormat="1" ht="18.95" customHeight="1">
      <c r="A179" s="108"/>
      <c r="B179" s="108"/>
      <c r="C179" s="27" t="s">
        <v>19</v>
      </c>
      <c r="D179" s="28">
        <v>0</v>
      </c>
      <c r="E179" s="30">
        <v>0</v>
      </c>
      <c r="F179" s="30">
        <v>0</v>
      </c>
      <c r="G179" s="31">
        <f t="shared" si="9"/>
        <v>0</v>
      </c>
      <c r="H179" s="110"/>
      <c r="I179" s="129"/>
      <c r="J179" s="112"/>
      <c r="K179" s="110"/>
      <c r="L179" s="105"/>
      <c r="M179" s="292"/>
    </row>
    <row r="180" spans="1:13" s="3" customFormat="1" ht="18.95" customHeight="1">
      <c r="A180" s="108"/>
      <c r="B180" s="108"/>
      <c r="C180" s="27" t="s">
        <v>21</v>
      </c>
      <c r="D180" s="28">
        <v>0</v>
      </c>
      <c r="E180" s="30">
        <v>0</v>
      </c>
      <c r="F180" s="30">
        <v>0</v>
      </c>
      <c r="G180" s="31">
        <f t="shared" si="9"/>
        <v>0</v>
      </c>
      <c r="H180" s="110"/>
      <c r="I180" s="129"/>
      <c r="J180" s="112"/>
      <c r="K180" s="110"/>
      <c r="L180" s="105"/>
      <c r="M180" s="292"/>
    </row>
    <row r="181" spans="1:13" s="3" customFormat="1" ht="18.95" customHeight="1">
      <c r="A181" s="108"/>
      <c r="B181" s="108"/>
      <c r="C181" s="27" t="s">
        <v>31</v>
      </c>
      <c r="D181" s="28">
        <v>0</v>
      </c>
      <c r="E181" s="30">
        <v>0</v>
      </c>
      <c r="F181" s="30">
        <v>0</v>
      </c>
      <c r="G181" s="31">
        <f t="shared" si="9"/>
        <v>0</v>
      </c>
      <c r="H181" s="110"/>
      <c r="I181" s="130"/>
      <c r="J181" s="113"/>
      <c r="K181" s="110"/>
      <c r="L181" s="106"/>
      <c r="M181" s="292"/>
    </row>
    <row r="182" spans="1:13" s="3" customFormat="1" ht="18.95" customHeight="1">
      <c r="A182" s="194" t="s">
        <v>138</v>
      </c>
      <c r="B182" s="139" t="s">
        <v>139</v>
      </c>
      <c r="C182" s="48" t="s">
        <v>14</v>
      </c>
      <c r="D182" s="49">
        <f>SUM(D183:D186)</f>
        <v>127067.5</v>
      </c>
      <c r="E182" s="50">
        <f>SUM(E183:E186)</f>
        <v>38049.362500000003</v>
      </c>
      <c r="F182" s="50">
        <f>SUM(F183:F186)</f>
        <v>38049.362500000003</v>
      </c>
      <c r="G182" s="51">
        <f t="shared" si="9"/>
        <v>0.29944212721584984</v>
      </c>
      <c r="H182" s="134" t="s">
        <v>140</v>
      </c>
      <c r="I182" s="67" t="s">
        <v>15</v>
      </c>
      <c r="J182" s="67">
        <v>1</v>
      </c>
      <c r="K182" s="134" t="s">
        <v>118</v>
      </c>
      <c r="L182" s="136"/>
      <c r="M182" s="292">
        <v>805</v>
      </c>
    </row>
    <row r="183" spans="1:13" s="3" customFormat="1" ht="18.95" customHeight="1">
      <c r="A183" s="195"/>
      <c r="B183" s="140"/>
      <c r="C183" s="48" t="s">
        <v>17</v>
      </c>
      <c r="D183" s="49">
        <f>D188+D193</f>
        <v>84092</v>
      </c>
      <c r="E183" s="50">
        <f>E188+E193</f>
        <v>25180.662499999999</v>
      </c>
      <c r="F183" s="50">
        <f>F188+F193</f>
        <v>25180.662499999999</v>
      </c>
      <c r="G183" s="52">
        <f t="shared" si="9"/>
        <v>0.29944183156542831</v>
      </c>
      <c r="H183" s="135"/>
      <c r="I183" s="67" t="s">
        <v>18</v>
      </c>
      <c r="J183" s="67">
        <v>0</v>
      </c>
      <c r="K183" s="135"/>
      <c r="L183" s="137"/>
      <c r="M183" s="292"/>
    </row>
    <row r="184" spans="1:13" s="3" customFormat="1" ht="18.95" customHeight="1">
      <c r="A184" s="195"/>
      <c r="B184" s="140"/>
      <c r="C184" s="48" t="s">
        <v>19</v>
      </c>
      <c r="D184" s="49">
        <f>D189+D194</f>
        <v>42975.5</v>
      </c>
      <c r="E184" s="50">
        <f t="shared" ref="E184:F186" si="11">E189+E194</f>
        <v>12868.7</v>
      </c>
      <c r="F184" s="50">
        <f t="shared" si="11"/>
        <v>12868.7</v>
      </c>
      <c r="G184" s="52">
        <f t="shared" si="9"/>
        <v>0.29944270572768206</v>
      </c>
      <c r="H184" s="135"/>
      <c r="I184" s="67" t="s">
        <v>20</v>
      </c>
      <c r="J184" s="67">
        <v>1</v>
      </c>
      <c r="K184" s="135"/>
      <c r="L184" s="137"/>
      <c r="M184" s="292"/>
    </row>
    <row r="185" spans="1:13" s="3" customFormat="1" ht="18.95" customHeight="1">
      <c r="A185" s="195"/>
      <c r="B185" s="140"/>
      <c r="C185" s="48" t="s">
        <v>21</v>
      </c>
      <c r="D185" s="49">
        <v>0</v>
      </c>
      <c r="E185" s="50">
        <f t="shared" si="11"/>
        <v>0</v>
      </c>
      <c r="F185" s="50">
        <f t="shared" si="11"/>
        <v>0</v>
      </c>
      <c r="G185" s="52">
        <f t="shared" si="9"/>
        <v>0</v>
      </c>
      <c r="H185" s="135"/>
      <c r="I185" s="67" t="s">
        <v>22</v>
      </c>
      <c r="J185" s="67">
        <v>0</v>
      </c>
      <c r="K185" s="135"/>
      <c r="L185" s="137"/>
      <c r="M185" s="292"/>
    </row>
    <row r="186" spans="1:13" s="3" customFormat="1" ht="18.95" customHeight="1">
      <c r="A186" s="195"/>
      <c r="B186" s="140"/>
      <c r="C186" s="48" t="s">
        <v>31</v>
      </c>
      <c r="D186" s="49">
        <f>D191+D196</f>
        <v>0</v>
      </c>
      <c r="E186" s="50">
        <f t="shared" si="11"/>
        <v>0</v>
      </c>
      <c r="F186" s="50">
        <f t="shared" si="11"/>
        <v>0</v>
      </c>
      <c r="G186" s="52">
        <f t="shared" si="9"/>
        <v>0</v>
      </c>
      <c r="H186" s="135"/>
      <c r="I186" s="67" t="s">
        <v>24</v>
      </c>
      <c r="J186" s="68">
        <f>IF(J182=0,0,(J183+J184*0.5)/J182)</f>
        <v>0.5</v>
      </c>
      <c r="K186" s="135"/>
      <c r="L186" s="138"/>
      <c r="M186" s="292"/>
    </row>
    <row r="187" spans="1:13" s="3" customFormat="1" ht="18.95" hidden="1" customHeight="1">
      <c r="A187" s="194" t="s">
        <v>141</v>
      </c>
      <c r="B187" s="139" t="s">
        <v>142</v>
      </c>
      <c r="C187" s="48" t="s">
        <v>14</v>
      </c>
      <c r="D187" s="49">
        <f>SUM(D188:D191)</f>
        <v>0</v>
      </c>
      <c r="E187" s="50">
        <f>SUM(E188:E191)</f>
        <v>0</v>
      </c>
      <c r="F187" s="50">
        <f>SUM(F188:F191)</f>
        <v>0</v>
      </c>
      <c r="G187" s="51">
        <f t="shared" si="9"/>
        <v>0</v>
      </c>
      <c r="H187" s="134" t="s">
        <v>143</v>
      </c>
      <c r="I187" s="143"/>
      <c r="J187" s="143"/>
      <c r="K187" s="134" t="s">
        <v>118</v>
      </c>
      <c r="L187" s="136"/>
      <c r="M187" s="1"/>
    </row>
    <row r="188" spans="1:13" s="3" customFormat="1" ht="18.95" hidden="1" customHeight="1">
      <c r="A188" s="195"/>
      <c r="B188" s="140"/>
      <c r="C188" s="48" t="s">
        <v>17</v>
      </c>
      <c r="D188" s="49">
        <v>0</v>
      </c>
      <c r="E188" s="50">
        <v>0</v>
      </c>
      <c r="F188" s="50">
        <v>0</v>
      </c>
      <c r="G188" s="52">
        <f t="shared" si="9"/>
        <v>0</v>
      </c>
      <c r="H188" s="135"/>
      <c r="I188" s="144"/>
      <c r="J188" s="144"/>
      <c r="K188" s="135"/>
      <c r="L188" s="137"/>
      <c r="M188" s="1"/>
    </row>
    <row r="189" spans="1:13" s="3" customFormat="1" ht="18.95" hidden="1" customHeight="1">
      <c r="A189" s="195"/>
      <c r="B189" s="140"/>
      <c r="C189" s="48" t="s">
        <v>19</v>
      </c>
      <c r="D189" s="49">
        <v>0</v>
      </c>
      <c r="E189" s="50">
        <v>0</v>
      </c>
      <c r="F189" s="50">
        <v>0</v>
      </c>
      <c r="G189" s="52">
        <f t="shared" si="9"/>
        <v>0</v>
      </c>
      <c r="H189" s="135"/>
      <c r="I189" s="144"/>
      <c r="J189" s="144"/>
      <c r="K189" s="135"/>
      <c r="L189" s="137"/>
      <c r="M189" s="1"/>
    </row>
    <row r="190" spans="1:13" s="3" customFormat="1" ht="18.95" hidden="1" customHeight="1">
      <c r="A190" s="195"/>
      <c r="B190" s="140"/>
      <c r="C190" s="48" t="s">
        <v>21</v>
      </c>
      <c r="D190" s="49">
        <v>0</v>
      </c>
      <c r="E190" s="50">
        <v>0</v>
      </c>
      <c r="F190" s="50">
        <v>0</v>
      </c>
      <c r="G190" s="52">
        <f t="shared" si="9"/>
        <v>0</v>
      </c>
      <c r="H190" s="135"/>
      <c r="I190" s="144"/>
      <c r="J190" s="144"/>
      <c r="K190" s="135"/>
      <c r="L190" s="137"/>
      <c r="M190" s="1"/>
    </row>
    <row r="191" spans="1:13" s="3" customFormat="1" ht="18.95" hidden="1" customHeight="1">
      <c r="A191" s="195"/>
      <c r="B191" s="140"/>
      <c r="C191" s="48" t="s">
        <v>31</v>
      </c>
      <c r="D191" s="49">
        <v>0</v>
      </c>
      <c r="E191" s="50">
        <v>0</v>
      </c>
      <c r="F191" s="50">
        <v>0</v>
      </c>
      <c r="G191" s="52">
        <f t="shared" si="9"/>
        <v>0</v>
      </c>
      <c r="H191" s="135"/>
      <c r="I191" s="145"/>
      <c r="J191" s="145"/>
      <c r="K191" s="135"/>
      <c r="L191" s="138"/>
      <c r="M191" s="1"/>
    </row>
    <row r="192" spans="1:13" s="3" customFormat="1" ht="18.95" customHeight="1">
      <c r="A192" s="194" t="s">
        <v>144</v>
      </c>
      <c r="B192" s="139" t="s">
        <v>145</v>
      </c>
      <c r="C192" s="48" t="s">
        <v>14</v>
      </c>
      <c r="D192" s="49">
        <f>SUM(D193:D196)</f>
        <v>127067.5</v>
      </c>
      <c r="E192" s="50">
        <f>SUM(E193:E196)</f>
        <v>38049.362500000003</v>
      </c>
      <c r="F192" s="50">
        <f>SUM(F193:F196)</f>
        <v>38049.362500000003</v>
      </c>
      <c r="G192" s="51">
        <f t="shared" si="9"/>
        <v>0.29944212721584984</v>
      </c>
      <c r="H192" s="134" t="s">
        <v>146</v>
      </c>
      <c r="I192" s="143" t="s">
        <v>793</v>
      </c>
      <c r="J192" s="143" t="s">
        <v>701</v>
      </c>
      <c r="K192" s="136" t="s">
        <v>133</v>
      </c>
      <c r="L192" s="136" t="s">
        <v>794</v>
      </c>
      <c r="M192" s="292">
        <v>805</v>
      </c>
    </row>
    <row r="193" spans="1:13" s="3" customFormat="1" ht="18.95" customHeight="1">
      <c r="A193" s="195"/>
      <c r="B193" s="140"/>
      <c r="C193" s="48" t="s">
        <v>17</v>
      </c>
      <c r="D193" s="49">
        <v>84092</v>
      </c>
      <c r="E193" s="50">
        <v>25180.662499999999</v>
      </c>
      <c r="F193" s="50">
        <v>25180.662499999999</v>
      </c>
      <c r="G193" s="52">
        <f t="shared" si="9"/>
        <v>0.29944183156542831</v>
      </c>
      <c r="H193" s="135"/>
      <c r="I193" s="144"/>
      <c r="J193" s="144"/>
      <c r="K193" s="137"/>
      <c r="L193" s="137"/>
      <c r="M193" s="292"/>
    </row>
    <row r="194" spans="1:13" s="3" customFormat="1" ht="18.95" customHeight="1">
      <c r="A194" s="195"/>
      <c r="B194" s="140"/>
      <c r="C194" s="48" t="s">
        <v>19</v>
      </c>
      <c r="D194" s="49">
        <v>42975.5</v>
      </c>
      <c r="E194" s="50">
        <v>12868.7</v>
      </c>
      <c r="F194" s="50">
        <v>12868.7</v>
      </c>
      <c r="G194" s="52">
        <f t="shared" si="9"/>
        <v>0.29944270572768206</v>
      </c>
      <c r="H194" s="135"/>
      <c r="I194" s="144"/>
      <c r="J194" s="144"/>
      <c r="K194" s="137"/>
      <c r="L194" s="137"/>
      <c r="M194" s="292"/>
    </row>
    <row r="195" spans="1:13" s="3" customFormat="1" ht="18.95" customHeight="1">
      <c r="A195" s="195"/>
      <c r="B195" s="140"/>
      <c r="C195" s="48" t="s">
        <v>21</v>
      </c>
      <c r="D195" s="49">
        <v>0</v>
      </c>
      <c r="E195" s="50">
        <v>0</v>
      </c>
      <c r="F195" s="50">
        <v>0</v>
      </c>
      <c r="G195" s="52">
        <f t="shared" si="9"/>
        <v>0</v>
      </c>
      <c r="H195" s="135"/>
      <c r="I195" s="144"/>
      <c r="J195" s="144"/>
      <c r="K195" s="137"/>
      <c r="L195" s="137"/>
      <c r="M195" s="292"/>
    </row>
    <row r="196" spans="1:13" s="3" customFormat="1" ht="18.95" customHeight="1">
      <c r="A196" s="195"/>
      <c r="B196" s="140"/>
      <c r="C196" s="48" t="s">
        <v>31</v>
      </c>
      <c r="D196" s="49">
        <v>0</v>
      </c>
      <c r="E196" s="50">
        <v>0</v>
      </c>
      <c r="F196" s="50">
        <v>0</v>
      </c>
      <c r="G196" s="52">
        <f t="shared" si="9"/>
        <v>0</v>
      </c>
      <c r="H196" s="135"/>
      <c r="I196" s="145"/>
      <c r="J196" s="145"/>
      <c r="K196" s="138"/>
      <c r="L196" s="138"/>
      <c r="M196" s="292"/>
    </row>
    <row r="197" spans="1:13" s="3" customFormat="1" ht="18.95" customHeight="1">
      <c r="A197" s="194" t="s">
        <v>147</v>
      </c>
      <c r="B197" s="139" t="s">
        <v>148</v>
      </c>
      <c r="C197" s="48" t="s">
        <v>14</v>
      </c>
      <c r="D197" s="49">
        <f>SUM(D198:D201)</f>
        <v>20743.8</v>
      </c>
      <c r="E197" s="50">
        <f>SUM(E198:E201)</f>
        <v>9622.1622100000004</v>
      </c>
      <c r="F197" s="50">
        <f>SUM(F198:F201)</f>
        <v>9622.1622100000004</v>
      </c>
      <c r="G197" s="51">
        <f t="shared" si="9"/>
        <v>0.46385725903643504</v>
      </c>
      <c r="H197" s="134" t="s">
        <v>149</v>
      </c>
      <c r="I197" s="67" t="s">
        <v>15</v>
      </c>
      <c r="J197" s="67">
        <f>SUM(J198:J200)</f>
        <v>1</v>
      </c>
      <c r="K197" s="136" t="s">
        <v>150</v>
      </c>
      <c r="L197" s="136"/>
      <c r="M197" s="292">
        <v>805</v>
      </c>
    </row>
    <row r="198" spans="1:13" s="3" customFormat="1" ht="18.95" customHeight="1">
      <c r="A198" s="195"/>
      <c r="B198" s="140"/>
      <c r="C198" s="48" t="s">
        <v>17</v>
      </c>
      <c r="D198" s="49">
        <f>D203</f>
        <v>20743.8</v>
      </c>
      <c r="E198" s="53">
        <f>E203</f>
        <v>9622.1622100000004</v>
      </c>
      <c r="F198" s="53">
        <f>F203</f>
        <v>9622.1622100000004</v>
      </c>
      <c r="G198" s="52">
        <f t="shared" si="9"/>
        <v>0.46385725903643504</v>
      </c>
      <c r="H198" s="135"/>
      <c r="I198" s="67" t="s">
        <v>18</v>
      </c>
      <c r="J198" s="67">
        <v>0</v>
      </c>
      <c r="K198" s="137"/>
      <c r="L198" s="137"/>
      <c r="M198" s="292"/>
    </row>
    <row r="199" spans="1:13" s="3" customFormat="1" ht="18.95" customHeight="1">
      <c r="A199" s="195"/>
      <c r="B199" s="140"/>
      <c r="C199" s="48" t="s">
        <v>19</v>
      </c>
      <c r="D199" s="49">
        <v>0</v>
      </c>
      <c r="E199" s="53">
        <v>0</v>
      </c>
      <c r="F199" s="53">
        <v>0</v>
      </c>
      <c r="G199" s="52">
        <f t="shared" si="9"/>
        <v>0</v>
      </c>
      <c r="H199" s="135"/>
      <c r="I199" s="67" t="s">
        <v>20</v>
      </c>
      <c r="J199" s="67">
        <v>1</v>
      </c>
      <c r="K199" s="137"/>
      <c r="L199" s="137"/>
      <c r="M199" s="292"/>
    </row>
    <row r="200" spans="1:13" s="3" customFormat="1" ht="18.95" customHeight="1">
      <c r="A200" s="195"/>
      <c r="B200" s="140"/>
      <c r="C200" s="48" t="s">
        <v>21</v>
      </c>
      <c r="D200" s="49">
        <v>0</v>
      </c>
      <c r="E200" s="53">
        <v>0</v>
      </c>
      <c r="F200" s="53">
        <v>0</v>
      </c>
      <c r="G200" s="52">
        <f t="shared" si="9"/>
        <v>0</v>
      </c>
      <c r="H200" s="135"/>
      <c r="I200" s="67" t="s">
        <v>22</v>
      </c>
      <c r="J200" s="67">
        <v>0</v>
      </c>
      <c r="K200" s="137"/>
      <c r="L200" s="137"/>
      <c r="M200" s="292"/>
    </row>
    <row r="201" spans="1:13" s="3" customFormat="1" ht="18.95" customHeight="1">
      <c r="A201" s="195"/>
      <c r="B201" s="140"/>
      <c r="C201" s="48" t="s">
        <v>31</v>
      </c>
      <c r="D201" s="49">
        <v>0</v>
      </c>
      <c r="E201" s="53">
        <v>0</v>
      </c>
      <c r="F201" s="53">
        <v>0</v>
      </c>
      <c r="G201" s="52">
        <f t="shared" si="9"/>
        <v>0</v>
      </c>
      <c r="H201" s="135"/>
      <c r="I201" s="67" t="s">
        <v>24</v>
      </c>
      <c r="J201" s="68">
        <f>IF(J197=0,0,(J198+J199*0.5)/J197)</f>
        <v>0.5</v>
      </c>
      <c r="K201" s="138"/>
      <c r="L201" s="138"/>
      <c r="M201" s="292"/>
    </row>
    <row r="202" spans="1:13" s="3" customFormat="1" ht="18.95" customHeight="1">
      <c r="A202" s="194" t="s">
        <v>151</v>
      </c>
      <c r="B202" s="139" t="s">
        <v>152</v>
      </c>
      <c r="C202" s="48" t="s">
        <v>14</v>
      </c>
      <c r="D202" s="49">
        <f>SUM(D203:D206)</f>
        <v>20743.8</v>
      </c>
      <c r="E202" s="50">
        <f>SUM(E203:E206)</f>
        <v>9622.1622100000004</v>
      </c>
      <c r="F202" s="50">
        <f>SUM(F203:F206)</f>
        <v>9622.1622100000004</v>
      </c>
      <c r="G202" s="51">
        <f t="shared" si="9"/>
        <v>0.46385725903643504</v>
      </c>
      <c r="H202" s="134" t="s">
        <v>153</v>
      </c>
      <c r="I202" s="143" t="s">
        <v>154</v>
      </c>
      <c r="J202" s="143" t="s">
        <v>701</v>
      </c>
      <c r="K202" s="136" t="s">
        <v>155</v>
      </c>
      <c r="L202" s="136" t="s">
        <v>717</v>
      </c>
      <c r="M202" s="292">
        <v>805</v>
      </c>
    </row>
    <row r="203" spans="1:13" s="3" customFormat="1" ht="18.95" customHeight="1">
      <c r="A203" s="195"/>
      <c r="B203" s="140"/>
      <c r="C203" s="48" t="s">
        <v>17</v>
      </c>
      <c r="D203" s="49">
        <v>20743.8</v>
      </c>
      <c r="E203" s="50">
        <v>9622.1622100000004</v>
      </c>
      <c r="F203" s="50">
        <v>9622.1622100000004</v>
      </c>
      <c r="G203" s="52">
        <f t="shared" si="9"/>
        <v>0.46385725903643504</v>
      </c>
      <c r="H203" s="135"/>
      <c r="I203" s="144"/>
      <c r="J203" s="144"/>
      <c r="K203" s="137"/>
      <c r="L203" s="137"/>
      <c r="M203" s="292"/>
    </row>
    <row r="204" spans="1:13" s="3" customFormat="1" ht="18.95" customHeight="1">
      <c r="A204" s="195"/>
      <c r="B204" s="140"/>
      <c r="C204" s="48" t="s">
        <v>19</v>
      </c>
      <c r="D204" s="49">
        <v>0</v>
      </c>
      <c r="E204" s="50">
        <v>0</v>
      </c>
      <c r="F204" s="50">
        <v>0</v>
      </c>
      <c r="G204" s="52">
        <f t="shared" si="9"/>
        <v>0</v>
      </c>
      <c r="H204" s="135"/>
      <c r="I204" s="144"/>
      <c r="J204" s="144"/>
      <c r="K204" s="137"/>
      <c r="L204" s="137"/>
      <c r="M204" s="292"/>
    </row>
    <row r="205" spans="1:13" s="3" customFormat="1" ht="18.95" customHeight="1">
      <c r="A205" s="195"/>
      <c r="B205" s="140"/>
      <c r="C205" s="48" t="s">
        <v>21</v>
      </c>
      <c r="D205" s="49">
        <v>0</v>
      </c>
      <c r="E205" s="50">
        <v>0</v>
      </c>
      <c r="F205" s="50">
        <v>0</v>
      </c>
      <c r="G205" s="52">
        <f t="shared" ref="G205:G263" si="12">IF(D205&lt;&gt;0,F205/D205,0)</f>
        <v>0</v>
      </c>
      <c r="H205" s="135"/>
      <c r="I205" s="144"/>
      <c r="J205" s="144"/>
      <c r="K205" s="137"/>
      <c r="L205" s="137"/>
      <c r="M205" s="292"/>
    </row>
    <row r="206" spans="1:13" s="3" customFormat="1" ht="18.95" customHeight="1">
      <c r="A206" s="195"/>
      <c r="B206" s="140"/>
      <c r="C206" s="48" t="s">
        <v>31</v>
      </c>
      <c r="D206" s="49">
        <v>0</v>
      </c>
      <c r="E206" s="50">
        <v>0</v>
      </c>
      <c r="F206" s="50">
        <v>0</v>
      </c>
      <c r="G206" s="52">
        <f t="shared" si="12"/>
        <v>0</v>
      </c>
      <c r="H206" s="135"/>
      <c r="I206" s="145"/>
      <c r="J206" s="145"/>
      <c r="K206" s="138"/>
      <c r="L206" s="138"/>
      <c r="M206" s="292"/>
    </row>
    <row r="207" spans="1:13" s="4" customFormat="1" ht="18.95" customHeight="1">
      <c r="A207" s="194" t="s">
        <v>156</v>
      </c>
      <c r="B207" s="139" t="s">
        <v>157</v>
      </c>
      <c r="C207" s="48" t="s">
        <v>14</v>
      </c>
      <c r="D207" s="49">
        <f>SUM(D208:D211)</f>
        <v>61798.200000000004</v>
      </c>
      <c r="E207" s="50">
        <f>SUM(E208:E211)</f>
        <v>7036.5091599999996</v>
      </c>
      <c r="F207" s="50">
        <f>SUM(F208:F211)</f>
        <v>7036.5091599999996</v>
      </c>
      <c r="G207" s="51">
        <f t="shared" si="12"/>
        <v>0.11386268791000384</v>
      </c>
      <c r="H207" s="134" t="s">
        <v>158</v>
      </c>
      <c r="I207" s="99" t="s">
        <v>15</v>
      </c>
      <c r="J207" s="99">
        <f>SUM(J208:J210)</f>
        <v>1</v>
      </c>
      <c r="K207" s="136" t="s">
        <v>118</v>
      </c>
      <c r="L207" s="136"/>
      <c r="M207" s="292">
        <v>805</v>
      </c>
    </row>
    <row r="208" spans="1:13" s="4" customFormat="1" ht="18.95" customHeight="1">
      <c r="A208" s="195"/>
      <c r="B208" s="140"/>
      <c r="C208" s="48" t="s">
        <v>17</v>
      </c>
      <c r="D208" s="49">
        <f t="shared" ref="D208:F209" si="13">D213</f>
        <v>3707.9</v>
      </c>
      <c r="E208" s="53">
        <f t="shared" si="13"/>
        <v>422.2</v>
      </c>
      <c r="F208" s="53">
        <f t="shared" si="13"/>
        <v>422.2</v>
      </c>
      <c r="G208" s="52">
        <f t="shared" si="12"/>
        <v>0.11386499096523638</v>
      </c>
      <c r="H208" s="135"/>
      <c r="I208" s="99" t="s">
        <v>18</v>
      </c>
      <c r="J208" s="99">
        <v>0</v>
      </c>
      <c r="K208" s="137"/>
      <c r="L208" s="137"/>
      <c r="M208" s="292"/>
    </row>
    <row r="209" spans="1:13" s="4" customFormat="1" ht="18.95" customHeight="1">
      <c r="A209" s="195"/>
      <c r="B209" s="140"/>
      <c r="C209" s="48" t="s">
        <v>19</v>
      </c>
      <c r="D209" s="49">
        <f t="shared" si="13"/>
        <v>58090.3</v>
      </c>
      <c r="E209" s="53">
        <f t="shared" si="13"/>
        <v>6614.3091599999998</v>
      </c>
      <c r="F209" s="53">
        <f t="shared" si="13"/>
        <v>6614.3091599999998</v>
      </c>
      <c r="G209" s="52">
        <f t="shared" si="12"/>
        <v>0.11386254090614095</v>
      </c>
      <c r="H209" s="135"/>
      <c r="I209" s="99" t="s">
        <v>20</v>
      </c>
      <c r="J209" s="99">
        <v>0</v>
      </c>
      <c r="K209" s="137"/>
      <c r="L209" s="137"/>
      <c r="M209" s="292"/>
    </row>
    <row r="210" spans="1:13" s="4" customFormat="1" ht="18.95" customHeight="1">
      <c r="A210" s="195"/>
      <c r="B210" s="140"/>
      <c r="C210" s="48" t="s">
        <v>21</v>
      </c>
      <c r="D210" s="49">
        <v>0</v>
      </c>
      <c r="E210" s="53">
        <f>E215</f>
        <v>0</v>
      </c>
      <c r="F210" s="53">
        <f>F215</f>
        <v>0</v>
      </c>
      <c r="G210" s="52">
        <f t="shared" si="12"/>
        <v>0</v>
      </c>
      <c r="H210" s="135"/>
      <c r="I210" s="99" t="s">
        <v>22</v>
      </c>
      <c r="J210" s="99">
        <v>1</v>
      </c>
      <c r="K210" s="137"/>
      <c r="L210" s="137"/>
      <c r="M210" s="292"/>
    </row>
    <row r="211" spans="1:13" s="4" customFormat="1" ht="18.95" customHeight="1">
      <c r="A211" s="195"/>
      <c r="B211" s="140"/>
      <c r="C211" s="48" t="s">
        <v>31</v>
      </c>
      <c r="D211" s="49">
        <f>D216</f>
        <v>0</v>
      </c>
      <c r="E211" s="53">
        <f>E216</f>
        <v>0</v>
      </c>
      <c r="F211" s="53">
        <f>F216</f>
        <v>0</v>
      </c>
      <c r="G211" s="52">
        <f t="shared" si="12"/>
        <v>0</v>
      </c>
      <c r="H211" s="135"/>
      <c r="I211" s="99" t="s">
        <v>24</v>
      </c>
      <c r="J211" s="68">
        <f>IF(J207=0,0,(J208+J209*0.5)/J207)</f>
        <v>0</v>
      </c>
      <c r="K211" s="138"/>
      <c r="L211" s="138"/>
      <c r="M211" s="292"/>
    </row>
    <row r="212" spans="1:13" s="4" customFormat="1" ht="18.95" customHeight="1">
      <c r="A212" s="194" t="s">
        <v>159</v>
      </c>
      <c r="B212" s="139" t="s">
        <v>160</v>
      </c>
      <c r="C212" s="48" t="s">
        <v>14</v>
      </c>
      <c r="D212" s="49">
        <f>SUM(D213:D216)</f>
        <v>61798.200000000004</v>
      </c>
      <c r="E212" s="50">
        <f>SUM(E213:E216)</f>
        <v>7036.5091599999996</v>
      </c>
      <c r="F212" s="50">
        <f>SUM(F213:F216)</f>
        <v>7036.5091599999996</v>
      </c>
      <c r="G212" s="51">
        <f t="shared" si="12"/>
        <v>0.11386268791000384</v>
      </c>
      <c r="H212" s="136" t="s">
        <v>161</v>
      </c>
      <c r="I212" s="136" t="s">
        <v>704</v>
      </c>
      <c r="J212" s="136" t="s">
        <v>105</v>
      </c>
      <c r="K212" s="136" t="s">
        <v>137</v>
      </c>
      <c r="L212" s="136" t="s">
        <v>795</v>
      </c>
      <c r="M212" s="292">
        <v>805</v>
      </c>
    </row>
    <row r="213" spans="1:13" s="4" customFormat="1" ht="18.95" customHeight="1">
      <c r="A213" s="195"/>
      <c r="B213" s="140"/>
      <c r="C213" s="48" t="s">
        <v>17</v>
      </c>
      <c r="D213" s="49">
        <v>3707.9</v>
      </c>
      <c r="E213" s="50">
        <v>422.2</v>
      </c>
      <c r="F213" s="50">
        <v>422.2</v>
      </c>
      <c r="G213" s="52">
        <f t="shared" si="12"/>
        <v>0.11386499096523638</v>
      </c>
      <c r="H213" s="137"/>
      <c r="I213" s="137"/>
      <c r="J213" s="137"/>
      <c r="K213" s="137"/>
      <c r="L213" s="137"/>
      <c r="M213" s="292"/>
    </row>
    <row r="214" spans="1:13" s="4" customFormat="1" ht="18.95" customHeight="1">
      <c r="A214" s="195"/>
      <c r="B214" s="140"/>
      <c r="C214" s="48" t="s">
        <v>19</v>
      </c>
      <c r="D214" s="49">
        <v>58090.3</v>
      </c>
      <c r="E214" s="50">
        <v>6614.3091599999998</v>
      </c>
      <c r="F214" s="50">
        <v>6614.3091599999998</v>
      </c>
      <c r="G214" s="52">
        <f t="shared" si="12"/>
        <v>0.11386254090614095</v>
      </c>
      <c r="H214" s="137"/>
      <c r="I214" s="137"/>
      <c r="J214" s="137"/>
      <c r="K214" s="137"/>
      <c r="L214" s="137"/>
      <c r="M214" s="292"/>
    </row>
    <row r="215" spans="1:13" s="4" customFormat="1" ht="18.95" customHeight="1">
      <c r="A215" s="195"/>
      <c r="B215" s="140"/>
      <c r="C215" s="48" t="s">
        <v>21</v>
      </c>
      <c r="D215" s="49">
        <v>0</v>
      </c>
      <c r="E215" s="50">
        <v>0</v>
      </c>
      <c r="F215" s="50">
        <v>0</v>
      </c>
      <c r="G215" s="52">
        <f t="shared" si="12"/>
        <v>0</v>
      </c>
      <c r="H215" s="137"/>
      <c r="I215" s="137"/>
      <c r="J215" s="137"/>
      <c r="K215" s="137"/>
      <c r="L215" s="137"/>
      <c r="M215" s="292"/>
    </row>
    <row r="216" spans="1:13" s="4" customFormat="1" ht="18.95" customHeight="1">
      <c r="A216" s="195"/>
      <c r="B216" s="140"/>
      <c r="C216" s="48" t="s">
        <v>31</v>
      </c>
      <c r="D216" s="49">
        <v>0</v>
      </c>
      <c r="E216" s="50">
        <v>0</v>
      </c>
      <c r="F216" s="50">
        <v>0</v>
      </c>
      <c r="G216" s="52">
        <f t="shared" si="12"/>
        <v>0</v>
      </c>
      <c r="H216" s="138"/>
      <c r="I216" s="138"/>
      <c r="J216" s="138"/>
      <c r="K216" s="138"/>
      <c r="L216" s="138"/>
      <c r="M216" s="292"/>
    </row>
    <row r="217" spans="1:13" s="3" customFormat="1" ht="18.95" customHeight="1">
      <c r="A217" s="155" t="s">
        <v>162</v>
      </c>
      <c r="B217" s="160" t="s">
        <v>163</v>
      </c>
      <c r="C217" s="33" t="s">
        <v>14</v>
      </c>
      <c r="D217" s="34">
        <f>SUM(D218:D221)</f>
        <v>14869323.000000002</v>
      </c>
      <c r="E217" s="37">
        <f>SUM(E218:E221)</f>
        <v>6887917.4640299994</v>
      </c>
      <c r="F217" s="37">
        <f>SUM(F218:F221)</f>
        <v>6778388.9476100001</v>
      </c>
      <c r="G217" s="35">
        <f t="shared" ref="G217:G226" si="14">IF(D217&lt;&gt;0,F217/D217,0)</f>
        <v>0.45586399243664283</v>
      </c>
      <c r="H217" s="239"/>
      <c r="I217" s="69" t="s">
        <v>15</v>
      </c>
      <c r="J217" s="69">
        <f>SUM(J218:J220)</f>
        <v>25</v>
      </c>
      <c r="K217" s="160" t="s">
        <v>164</v>
      </c>
      <c r="L217" s="157"/>
      <c r="M217" s="292">
        <v>805</v>
      </c>
    </row>
    <row r="218" spans="1:13" s="3" customFormat="1" ht="18.95" customHeight="1">
      <c r="A218" s="156"/>
      <c r="B218" s="161"/>
      <c r="C218" s="33" t="s">
        <v>17</v>
      </c>
      <c r="D218" s="34">
        <f>SUM(D223,D288,D308,D323,D353,D368,D383,D393,D403,D418)</f>
        <v>2691966.6</v>
      </c>
      <c r="E218" s="54">
        <f>E223+E288+E308+E323+E353+E368+E383+E393+E403+E418</f>
        <v>1175295.7921899997</v>
      </c>
      <c r="F218" s="54">
        <f>F223+F288+F308+F323+F353+F368+F383+F393+F403+F418</f>
        <v>1069823.47328</v>
      </c>
      <c r="G218" s="38">
        <f t="shared" si="14"/>
        <v>0.39741335322659649</v>
      </c>
      <c r="H218" s="240"/>
      <c r="I218" s="69" t="s">
        <v>18</v>
      </c>
      <c r="J218" s="69">
        <f>COUNTIF($J$227:$J$426,"да")</f>
        <v>0</v>
      </c>
      <c r="K218" s="161"/>
      <c r="L218" s="158"/>
      <c r="M218" s="292"/>
    </row>
    <row r="219" spans="1:13" s="3" customFormat="1" ht="18.95" customHeight="1">
      <c r="A219" s="156"/>
      <c r="B219" s="161"/>
      <c r="C219" s="33" t="s">
        <v>19</v>
      </c>
      <c r="D219" s="34">
        <f>SUM(D224,D289,D309,D324,D354,D369,D384,D394,D404,D419)</f>
        <v>267003.8</v>
      </c>
      <c r="E219" s="54">
        <f t="shared" ref="E219:F221" si="15">E224+E289+E309+E324+E354+E369+E384+E394+E404+E419</f>
        <v>34952.681839999997</v>
      </c>
      <c r="F219" s="54">
        <f t="shared" si="15"/>
        <v>30896.484329999999</v>
      </c>
      <c r="G219" s="38">
        <f t="shared" si="14"/>
        <v>0.11571552288768924</v>
      </c>
      <c r="H219" s="240"/>
      <c r="I219" s="69" t="s">
        <v>20</v>
      </c>
      <c r="J219" s="69">
        <f>COUNTIF($J$227:$J$426,"частично")</f>
        <v>18</v>
      </c>
      <c r="K219" s="161"/>
      <c r="L219" s="158"/>
      <c r="M219" s="292"/>
    </row>
    <row r="220" spans="1:13" s="3" customFormat="1" ht="18.95" customHeight="1">
      <c r="A220" s="156"/>
      <c r="B220" s="161"/>
      <c r="C220" s="33" t="s">
        <v>21</v>
      </c>
      <c r="D220" s="34">
        <v>0</v>
      </c>
      <c r="E220" s="54">
        <f t="shared" si="15"/>
        <v>0</v>
      </c>
      <c r="F220" s="54">
        <f t="shared" si="15"/>
        <v>0</v>
      </c>
      <c r="G220" s="38">
        <f t="shared" si="14"/>
        <v>0</v>
      </c>
      <c r="H220" s="240"/>
      <c r="I220" s="69" t="s">
        <v>22</v>
      </c>
      <c r="J220" s="69">
        <f>COUNTIF($J$227:$J$426,"нет")</f>
        <v>7</v>
      </c>
      <c r="K220" s="161"/>
      <c r="L220" s="158"/>
      <c r="M220" s="292"/>
    </row>
    <row r="221" spans="1:13" s="3" customFormat="1" ht="18.95" customHeight="1">
      <c r="A221" s="156"/>
      <c r="B221" s="161"/>
      <c r="C221" s="33" t="s">
        <v>31</v>
      </c>
      <c r="D221" s="34">
        <f>SUM(D226,D291,D311,D326,D356,D371,D386,D396,D406,D421)</f>
        <v>11910352.600000001</v>
      </c>
      <c r="E221" s="54">
        <f t="shared" si="15"/>
        <v>5677668.9900000002</v>
      </c>
      <c r="F221" s="54">
        <f t="shared" si="15"/>
        <v>5677668.9900000002</v>
      </c>
      <c r="G221" s="38">
        <f t="shared" si="14"/>
        <v>0.47670032791472516</v>
      </c>
      <c r="H221" s="240"/>
      <c r="I221" s="69" t="s">
        <v>24</v>
      </c>
      <c r="J221" s="70">
        <f>IF(J217=0,0,(J218+J219*0.5)/J217)</f>
        <v>0.36</v>
      </c>
      <c r="K221" s="161"/>
      <c r="L221" s="159"/>
      <c r="M221" s="292"/>
    </row>
    <row r="222" spans="1:13" s="3" customFormat="1" ht="18.95" customHeight="1">
      <c r="A222" s="123" t="s">
        <v>165</v>
      </c>
      <c r="B222" s="123" t="s">
        <v>166</v>
      </c>
      <c r="C222" s="40" t="s">
        <v>14</v>
      </c>
      <c r="D222" s="41">
        <f>SUM(D223:D226)</f>
        <v>8717490.7000000011</v>
      </c>
      <c r="E222" s="42">
        <f>SUM(E223:E226)</f>
        <v>4429171.92203</v>
      </c>
      <c r="F222" s="42">
        <f>SUM(F223:F226)</f>
        <v>4380289.50263</v>
      </c>
      <c r="G222" s="43">
        <f t="shared" si="14"/>
        <v>0.50247137087625449</v>
      </c>
      <c r="H222" s="121" t="s">
        <v>167</v>
      </c>
      <c r="I222" s="65" t="s">
        <v>15</v>
      </c>
      <c r="J222" s="65">
        <v>8</v>
      </c>
      <c r="K222" s="121" t="s">
        <v>168</v>
      </c>
      <c r="L222" s="125"/>
      <c r="M222" s="292">
        <v>805</v>
      </c>
    </row>
    <row r="223" spans="1:13" s="3" customFormat="1" ht="18.95" customHeight="1">
      <c r="A223" s="124"/>
      <c r="B223" s="124"/>
      <c r="C223" s="40" t="s">
        <v>17</v>
      </c>
      <c r="D223" s="41">
        <f>D228+D233+D238+D243+D248+D253+D258+D263+D268+D273+D278+D283</f>
        <v>1452699.1000000003</v>
      </c>
      <c r="E223" s="47">
        <f>E228+E233+E238+E243+E248+E253+E258+E263+E268+E273+E278+E283</f>
        <v>691367.23352000001</v>
      </c>
      <c r="F223" s="47">
        <f>F228+F233+F238+F243+F248+F253+F258+F263+F268+F273+F278+F283</f>
        <v>643205.71162999992</v>
      </c>
      <c r="G223" s="45">
        <f t="shared" si="14"/>
        <v>0.4427659600188365</v>
      </c>
      <c r="H223" s="122"/>
      <c r="I223" s="65" t="s">
        <v>18</v>
      </c>
      <c r="J223" s="65">
        <f>COUNTIF($J$227:$J$266,"да")</f>
        <v>0</v>
      </c>
      <c r="K223" s="122"/>
      <c r="L223" s="126"/>
      <c r="M223" s="292"/>
    </row>
    <row r="224" spans="1:13" s="3" customFormat="1" ht="18.95" customHeight="1">
      <c r="A224" s="124"/>
      <c r="B224" s="124"/>
      <c r="C224" s="40" t="s">
        <v>19</v>
      </c>
      <c r="D224" s="41">
        <f>D229+D234+D239+D244+D249+D254+D259+D264+D269+D274+D279+D284</f>
        <v>27255.8</v>
      </c>
      <c r="E224" s="47">
        <f t="shared" ref="E224:F226" si="16">E229+E234+E239+E244+E249+E254+E259+E264+E269+E274+E279+E284</f>
        <v>6414.4485100000002</v>
      </c>
      <c r="F224" s="47">
        <f t="shared" si="16"/>
        <v>5693.5510000000004</v>
      </c>
      <c r="G224" s="45">
        <f t="shared" si="14"/>
        <v>0.20889318970641113</v>
      </c>
      <c r="H224" s="122"/>
      <c r="I224" s="65" t="s">
        <v>20</v>
      </c>
      <c r="J224" s="65">
        <f>COUNTIF($J$227:$J$266,"частично")</f>
        <v>5</v>
      </c>
      <c r="K224" s="122"/>
      <c r="L224" s="126"/>
      <c r="M224" s="292"/>
    </row>
    <row r="225" spans="1:13" s="3" customFormat="1" ht="18.95" customHeight="1">
      <c r="A225" s="124"/>
      <c r="B225" s="124"/>
      <c r="C225" s="40" t="s">
        <v>21</v>
      </c>
      <c r="D225" s="41">
        <v>0</v>
      </c>
      <c r="E225" s="47">
        <f t="shared" si="16"/>
        <v>0</v>
      </c>
      <c r="F225" s="47">
        <f t="shared" si="16"/>
        <v>0</v>
      </c>
      <c r="G225" s="45">
        <f t="shared" si="14"/>
        <v>0</v>
      </c>
      <c r="H225" s="122"/>
      <c r="I225" s="65" t="s">
        <v>22</v>
      </c>
      <c r="J225" s="65">
        <f>COUNTIF($J$227:$J$266,"нет")</f>
        <v>3</v>
      </c>
      <c r="K225" s="122"/>
      <c r="L225" s="126"/>
      <c r="M225" s="292"/>
    </row>
    <row r="226" spans="1:13" s="3" customFormat="1" ht="18.95" customHeight="1">
      <c r="A226" s="124"/>
      <c r="B226" s="124"/>
      <c r="C226" s="40" t="s">
        <v>31</v>
      </c>
      <c r="D226" s="41">
        <f>D231+D236+D241+D246+D251+D256+D261+D266+D271+D276+D281+D286</f>
        <v>7237535.8000000007</v>
      </c>
      <c r="E226" s="47">
        <f t="shared" si="16"/>
        <v>3731390.24</v>
      </c>
      <c r="F226" s="47">
        <f t="shared" si="16"/>
        <v>3731390.24</v>
      </c>
      <c r="G226" s="45">
        <f t="shared" si="14"/>
        <v>0.51556086810651769</v>
      </c>
      <c r="H226" s="122"/>
      <c r="I226" s="65" t="s">
        <v>24</v>
      </c>
      <c r="J226" s="66">
        <f>IF(J222=0,0,(J223+J224*0.5)/J222)</f>
        <v>0.3125</v>
      </c>
      <c r="K226" s="122"/>
      <c r="L226" s="127"/>
      <c r="M226" s="292"/>
    </row>
    <row r="227" spans="1:13" s="3" customFormat="1" ht="18.95" customHeight="1">
      <c r="A227" s="107" t="s">
        <v>169</v>
      </c>
      <c r="B227" s="107" t="s">
        <v>170</v>
      </c>
      <c r="C227" s="27" t="s">
        <v>14</v>
      </c>
      <c r="D227" s="28">
        <f>SUM(D228:D231)</f>
        <v>82336.400000000009</v>
      </c>
      <c r="E227" s="30">
        <f>SUM(E228:E231)</f>
        <v>62048.12199</v>
      </c>
      <c r="F227" s="30">
        <f>SUM(F228:F231)</f>
        <v>59609.22</v>
      </c>
      <c r="G227" s="29">
        <f t="shared" si="12"/>
        <v>0.72397165773582517</v>
      </c>
      <c r="H227" s="109" t="s">
        <v>171</v>
      </c>
      <c r="I227" s="111" t="s">
        <v>691</v>
      </c>
      <c r="J227" s="111" t="s">
        <v>701</v>
      </c>
      <c r="K227" s="109" t="s">
        <v>172</v>
      </c>
      <c r="L227" s="104" t="s">
        <v>717</v>
      </c>
      <c r="M227" s="292">
        <v>805</v>
      </c>
    </row>
    <row r="228" spans="1:13" s="3" customFormat="1" ht="18.95" customHeight="1">
      <c r="A228" s="108"/>
      <c r="B228" s="108"/>
      <c r="C228" s="27" t="s">
        <v>17</v>
      </c>
      <c r="D228" s="28">
        <v>73418.3</v>
      </c>
      <c r="E228" s="30">
        <v>58050.821989999997</v>
      </c>
      <c r="F228" s="30">
        <v>55678.92</v>
      </c>
      <c r="G228" s="31">
        <f t="shared" si="12"/>
        <v>0.75837931414919713</v>
      </c>
      <c r="H228" s="110"/>
      <c r="I228" s="112"/>
      <c r="J228" s="112"/>
      <c r="K228" s="110"/>
      <c r="L228" s="105"/>
      <c r="M228" s="292"/>
    </row>
    <row r="229" spans="1:13" s="3" customFormat="1" ht="18.95" customHeight="1">
      <c r="A229" s="108"/>
      <c r="B229" s="108"/>
      <c r="C229" s="27" t="s">
        <v>19</v>
      </c>
      <c r="D229" s="28">
        <v>8918.1</v>
      </c>
      <c r="E229" s="30">
        <v>3997.3</v>
      </c>
      <c r="F229" s="30">
        <v>3930.3</v>
      </c>
      <c r="G229" s="31">
        <f t="shared" si="12"/>
        <v>0.440710465233626</v>
      </c>
      <c r="H229" s="110"/>
      <c r="I229" s="112"/>
      <c r="J229" s="112"/>
      <c r="K229" s="110"/>
      <c r="L229" s="105"/>
      <c r="M229" s="292"/>
    </row>
    <row r="230" spans="1:13" s="3" customFormat="1" ht="18.95" customHeight="1">
      <c r="A230" s="108"/>
      <c r="B230" s="108"/>
      <c r="C230" s="27" t="s">
        <v>21</v>
      </c>
      <c r="D230" s="28">
        <v>0</v>
      </c>
      <c r="E230" s="30">
        <v>0</v>
      </c>
      <c r="F230" s="30">
        <v>0</v>
      </c>
      <c r="G230" s="31">
        <f t="shared" si="12"/>
        <v>0</v>
      </c>
      <c r="H230" s="110"/>
      <c r="I230" s="112"/>
      <c r="J230" s="112"/>
      <c r="K230" s="110"/>
      <c r="L230" s="105"/>
      <c r="M230" s="292"/>
    </row>
    <row r="231" spans="1:13" s="3" customFormat="1" ht="18.95" customHeight="1">
      <c r="A231" s="108"/>
      <c r="B231" s="108"/>
      <c r="C231" s="27" t="s">
        <v>31</v>
      </c>
      <c r="D231" s="28">
        <v>0</v>
      </c>
      <c r="E231" s="30">
        <v>0</v>
      </c>
      <c r="F231" s="30">
        <v>0</v>
      </c>
      <c r="G231" s="31">
        <f t="shared" si="12"/>
        <v>0</v>
      </c>
      <c r="H231" s="110"/>
      <c r="I231" s="113"/>
      <c r="J231" s="113"/>
      <c r="K231" s="110"/>
      <c r="L231" s="106"/>
      <c r="M231" s="292"/>
    </row>
    <row r="232" spans="1:13" s="3" customFormat="1" ht="18.95" customHeight="1">
      <c r="A232" s="107" t="s">
        <v>173</v>
      </c>
      <c r="B232" s="107" t="s">
        <v>174</v>
      </c>
      <c r="C232" s="27" t="s">
        <v>14</v>
      </c>
      <c r="D232" s="28">
        <f>SUM(D233:D236)</f>
        <v>7237535.8000000007</v>
      </c>
      <c r="E232" s="30">
        <f>SUM(E233:E236)</f>
        <v>3731390.24</v>
      </c>
      <c r="F232" s="30">
        <f>SUM(F233:F236)</f>
        <v>3731390.24</v>
      </c>
      <c r="G232" s="29">
        <f t="shared" si="12"/>
        <v>0.51556086810651769</v>
      </c>
      <c r="H232" s="109" t="s">
        <v>175</v>
      </c>
      <c r="I232" s="111" t="s">
        <v>743</v>
      </c>
      <c r="J232" s="111" t="s">
        <v>701</v>
      </c>
      <c r="K232" s="109" t="s">
        <v>176</v>
      </c>
      <c r="L232" s="104" t="s">
        <v>744</v>
      </c>
      <c r="M232" s="292">
        <v>805</v>
      </c>
    </row>
    <row r="233" spans="1:13" s="3" customFormat="1" ht="18.95" customHeight="1">
      <c r="A233" s="108"/>
      <c r="B233" s="108"/>
      <c r="C233" s="27" t="s">
        <v>17</v>
      </c>
      <c r="D233" s="28">
        <v>0</v>
      </c>
      <c r="E233" s="30">
        <v>0</v>
      </c>
      <c r="F233" s="30">
        <v>0</v>
      </c>
      <c r="G233" s="31">
        <f t="shared" si="12"/>
        <v>0</v>
      </c>
      <c r="H233" s="110"/>
      <c r="I233" s="112"/>
      <c r="J233" s="112"/>
      <c r="K233" s="110"/>
      <c r="L233" s="105"/>
      <c r="M233" s="292"/>
    </row>
    <row r="234" spans="1:13" s="3" customFormat="1" ht="18.95" customHeight="1">
      <c r="A234" s="108"/>
      <c r="B234" s="108"/>
      <c r="C234" s="27" t="s">
        <v>19</v>
      </c>
      <c r="D234" s="28">
        <v>0</v>
      </c>
      <c r="E234" s="30">
        <v>0</v>
      </c>
      <c r="F234" s="30">
        <v>0</v>
      </c>
      <c r="G234" s="31">
        <f t="shared" si="12"/>
        <v>0</v>
      </c>
      <c r="H234" s="110"/>
      <c r="I234" s="112"/>
      <c r="J234" s="112"/>
      <c r="K234" s="110"/>
      <c r="L234" s="105"/>
      <c r="M234" s="292"/>
    </row>
    <row r="235" spans="1:13" s="3" customFormat="1" ht="18.95" customHeight="1">
      <c r="A235" s="108"/>
      <c r="B235" s="108"/>
      <c r="C235" s="27" t="s">
        <v>21</v>
      </c>
      <c r="D235" s="28">
        <v>0</v>
      </c>
      <c r="E235" s="30">
        <v>0</v>
      </c>
      <c r="F235" s="30">
        <v>0</v>
      </c>
      <c r="G235" s="31">
        <f t="shared" si="12"/>
        <v>0</v>
      </c>
      <c r="H235" s="110"/>
      <c r="I235" s="112"/>
      <c r="J235" s="112"/>
      <c r="K235" s="110"/>
      <c r="L235" s="105"/>
      <c r="M235" s="292"/>
    </row>
    <row r="236" spans="1:13" s="3" customFormat="1" ht="18.95" customHeight="1">
      <c r="A236" s="108"/>
      <c r="B236" s="108"/>
      <c r="C236" s="27" t="s">
        <v>31</v>
      </c>
      <c r="D236" s="28">
        <f>7157971.4+79564.4</f>
        <v>7237535.8000000007</v>
      </c>
      <c r="E236" s="30">
        <v>3731390.24</v>
      </c>
      <c r="F236" s="30">
        <v>3731390.24</v>
      </c>
      <c r="G236" s="31">
        <f t="shared" si="12"/>
        <v>0.51556086810651769</v>
      </c>
      <c r="H236" s="110"/>
      <c r="I236" s="113"/>
      <c r="J236" s="113"/>
      <c r="K236" s="110"/>
      <c r="L236" s="106"/>
      <c r="M236" s="292"/>
    </row>
    <row r="237" spans="1:13" s="3" customFormat="1" ht="18.95" customHeight="1">
      <c r="A237" s="107" t="s">
        <v>177</v>
      </c>
      <c r="B237" s="107" t="s">
        <v>37</v>
      </c>
      <c r="C237" s="27" t="s">
        <v>14</v>
      </c>
      <c r="D237" s="28">
        <f>SUM(D238:D241)</f>
        <v>1282270.3</v>
      </c>
      <c r="E237" s="30">
        <f>SUM(E238:E241)</f>
        <v>605963.59811000002</v>
      </c>
      <c r="F237" s="30">
        <f>SUM(F238:F241)</f>
        <v>560465.7782099999</v>
      </c>
      <c r="G237" s="29">
        <f t="shared" si="12"/>
        <v>0.43708863740351772</v>
      </c>
      <c r="H237" s="109" t="s">
        <v>178</v>
      </c>
      <c r="I237" s="111" t="s">
        <v>179</v>
      </c>
      <c r="J237" s="111" t="s">
        <v>701</v>
      </c>
      <c r="K237" s="109" t="s">
        <v>172</v>
      </c>
      <c r="L237" s="104" t="s">
        <v>180</v>
      </c>
      <c r="M237" s="292">
        <v>805</v>
      </c>
    </row>
    <row r="238" spans="1:13" s="3" customFormat="1" ht="18.95" customHeight="1">
      <c r="A238" s="108"/>
      <c r="B238" s="108"/>
      <c r="C238" s="27" t="s">
        <v>17</v>
      </c>
      <c r="D238" s="28">
        <f>1282053.1+217.2</f>
        <v>1282270.3</v>
      </c>
      <c r="E238" s="30">
        <v>605963.59811000002</v>
      </c>
      <c r="F238" s="30">
        <v>560465.7782099999</v>
      </c>
      <c r="G238" s="31">
        <f t="shared" si="12"/>
        <v>0.43708863740351772</v>
      </c>
      <c r="H238" s="110"/>
      <c r="I238" s="112"/>
      <c r="J238" s="112"/>
      <c r="K238" s="110"/>
      <c r="L238" s="105"/>
      <c r="M238" s="292"/>
    </row>
    <row r="239" spans="1:13" s="3" customFormat="1" ht="18.95" customHeight="1">
      <c r="A239" s="108"/>
      <c r="B239" s="108"/>
      <c r="C239" s="27" t="s">
        <v>19</v>
      </c>
      <c r="D239" s="28">
        <v>0</v>
      </c>
      <c r="E239" s="30">
        <v>0</v>
      </c>
      <c r="F239" s="30">
        <v>0</v>
      </c>
      <c r="G239" s="31">
        <f t="shared" si="12"/>
        <v>0</v>
      </c>
      <c r="H239" s="110"/>
      <c r="I239" s="112"/>
      <c r="J239" s="112"/>
      <c r="K239" s="110"/>
      <c r="L239" s="105"/>
      <c r="M239" s="292"/>
    </row>
    <row r="240" spans="1:13" s="3" customFormat="1" ht="18.95" customHeight="1">
      <c r="A240" s="108"/>
      <c r="B240" s="108"/>
      <c r="C240" s="27" t="s">
        <v>21</v>
      </c>
      <c r="D240" s="28">
        <v>0</v>
      </c>
      <c r="E240" s="30">
        <v>0</v>
      </c>
      <c r="F240" s="30">
        <v>0</v>
      </c>
      <c r="G240" s="31">
        <f t="shared" si="12"/>
        <v>0</v>
      </c>
      <c r="H240" s="110"/>
      <c r="I240" s="112"/>
      <c r="J240" s="112"/>
      <c r="K240" s="110"/>
      <c r="L240" s="105"/>
      <c r="M240" s="292"/>
    </row>
    <row r="241" spans="1:13" s="3" customFormat="1" ht="18.95" customHeight="1">
      <c r="A241" s="108"/>
      <c r="B241" s="108"/>
      <c r="C241" s="27" t="s">
        <v>31</v>
      </c>
      <c r="D241" s="28">
        <v>0</v>
      </c>
      <c r="E241" s="30">
        <v>0</v>
      </c>
      <c r="F241" s="30">
        <v>0</v>
      </c>
      <c r="G241" s="31">
        <f t="shared" si="12"/>
        <v>0</v>
      </c>
      <c r="H241" s="110"/>
      <c r="I241" s="113"/>
      <c r="J241" s="113"/>
      <c r="K241" s="110"/>
      <c r="L241" s="106"/>
      <c r="M241" s="292"/>
    </row>
    <row r="242" spans="1:13" s="3" customFormat="1" ht="18.95" customHeight="1">
      <c r="A242" s="107" t="s">
        <v>181</v>
      </c>
      <c r="B242" s="107" t="s">
        <v>182</v>
      </c>
      <c r="C242" s="27" t="s">
        <v>14</v>
      </c>
      <c r="D242" s="28">
        <f>SUM(D243:D246)</f>
        <v>75263.600000000006</v>
      </c>
      <c r="E242" s="30">
        <f>SUM(E243:E246)</f>
        <v>26284.113420000001</v>
      </c>
      <c r="F242" s="30">
        <f>SUM(F243:F246)</f>
        <v>26284.113420000001</v>
      </c>
      <c r="G242" s="29">
        <f t="shared" ref="G242:G256" si="17">IF(D242&lt;&gt;0,F242/D242,0)</f>
        <v>0.34922742760112457</v>
      </c>
      <c r="H242" s="109" t="s">
        <v>183</v>
      </c>
      <c r="I242" s="111" t="s">
        <v>184</v>
      </c>
      <c r="J242" s="111" t="s">
        <v>701</v>
      </c>
      <c r="K242" s="109" t="s">
        <v>185</v>
      </c>
      <c r="L242" s="236" t="s">
        <v>796</v>
      </c>
      <c r="M242" s="292">
        <v>805</v>
      </c>
    </row>
    <row r="243" spans="1:13" s="3" customFormat="1" ht="18.95" customHeight="1">
      <c r="A243" s="108"/>
      <c r="B243" s="108"/>
      <c r="C243" s="27" t="s">
        <v>17</v>
      </c>
      <c r="D243" s="28">
        <f>75263.6</f>
        <v>75263.600000000006</v>
      </c>
      <c r="E243" s="71">
        <v>26284.113420000001</v>
      </c>
      <c r="F243" s="30">
        <v>26284.113420000001</v>
      </c>
      <c r="G243" s="31">
        <f t="shared" si="17"/>
        <v>0.34922742760112457</v>
      </c>
      <c r="H243" s="110"/>
      <c r="I243" s="112"/>
      <c r="J243" s="112"/>
      <c r="K243" s="110"/>
      <c r="L243" s="237"/>
      <c r="M243" s="292"/>
    </row>
    <row r="244" spans="1:13" s="3" customFormat="1" ht="18.95" customHeight="1">
      <c r="A244" s="108"/>
      <c r="B244" s="108"/>
      <c r="C244" s="27" t="s">
        <v>19</v>
      </c>
      <c r="D244" s="28">
        <v>0</v>
      </c>
      <c r="E244" s="30">
        <v>0</v>
      </c>
      <c r="F244" s="30">
        <v>0</v>
      </c>
      <c r="G244" s="31">
        <f t="shared" si="17"/>
        <v>0</v>
      </c>
      <c r="H244" s="110"/>
      <c r="I244" s="112"/>
      <c r="J244" s="112"/>
      <c r="K244" s="110"/>
      <c r="L244" s="237"/>
      <c r="M244" s="292"/>
    </row>
    <row r="245" spans="1:13" s="3" customFormat="1" ht="18.95" customHeight="1">
      <c r="A245" s="108"/>
      <c r="B245" s="108"/>
      <c r="C245" s="27" t="s">
        <v>21</v>
      </c>
      <c r="D245" s="28">
        <v>0</v>
      </c>
      <c r="E245" s="30">
        <v>0</v>
      </c>
      <c r="F245" s="30">
        <v>0</v>
      </c>
      <c r="G245" s="31">
        <f t="shared" si="17"/>
        <v>0</v>
      </c>
      <c r="H245" s="110"/>
      <c r="I245" s="112"/>
      <c r="J245" s="112"/>
      <c r="K245" s="110"/>
      <c r="L245" s="237"/>
      <c r="M245" s="292"/>
    </row>
    <row r="246" spans="1:13" s="3" customFormat="1" ht="18.95" customHeight="1">
      <c r="A246" s="108"/>
      <c r="B246" s="108"/>
      <c r="C246" s="27" t="s">
        <v>31</v>
      </c>
      <c r="D246" s="28">
        <v>0</v>
      </c>
      <c r="E246" s="30">
        <v>0</v>
      </c>
      <c r="F246" s="30">
        <v>0</v>
      </c>
      <c r="G246" s="31">
        <f t="shared" si="17"/>
        <v>0</v>
      </c>
      <c r="H246" s="110"/>
      <c r="I246" s="113"/>
      <c r="J246" s="113"/>
      <c r="K246" s="110"/>
      <c r="L246" s="238"/>
      <c r="M246" s="292"/>
    </row>
    <row r="247" spans="1:13" s="3" customFormat="1" ht="18.95" customHeight="1">
      <c r="A247" s="107" t="s">
        <v>186</v>
      </c>
      <c r="B247" s="107" t="s">
        <v>187</v>
      </c>
      <c r="C247" s="27" t="s">
        <v>14</v>
      </c>
      <c r="D247" s="28">
        <f>SUM(D248:D251)</f>
        <v>2263</v>
      </c>
      <c r="E247" s="30">
        <f>SUM(E248:E251)</f>
        <v>847.35100000000011</v>
      </c>
      <c r="F247" s="30">
        <f>SUM(F248:F251)</f>
        <v>847.35100000000011</v>
      </c>
      <c r="G247" s="29">
        <f t="shared" si="17"/>
        <v>0.37443703049049937</v>
      </c>
      <c r="H247" s="109" t="s">
        <v>188</v>
      </c>
      <c r="I247" s="111" t="s">
        <v>189</v>
      </c>
      <c r="J247" s="111" t="s">
        <v>701</v>
      </c>
      <c r="K247" s="109" t="s">
        <v>51</v>
      </c>
      <c r="L247" s="111" t="s">
        <v>825</v>
      </c>
      <c r="M247" s="292">
        <v>805</v>
      </c>
    </row>
    <row r="248" spans="1:13" s="3" customFormat="1" ht="18.95" customHeight="1">
      <c r="A248" s="108"/>
      <c r="B248" s="108"/>
      <c r="C248" s="27" t="s">
        <v>17</v>
      </c>
      <c r="D248" s="28">
        <v>699.1</v>
      </c>
      <c r="E248" s="30">
        <v>254.8</v>
      </c>
      <c r="F248" s="30">
        <v>254.8</v>
      </c>
      <c r="G248" s="31">
        <f t="shared" si="17"/>
        <v>0.36446860248891433</v>
      </c>
      <c r="H248" s="110"/>
      <c r="I248" s="112"/>
      <c r="J248" s="112"/>
      <c r="K248" s="110"/>
      <c r="L248" s="112"/>
      <c r="M248" s="292"/>
    </row>
    <row r="249" spans="1:13" s="3" customFormat="1" ht="18.95" customHeight="1">
      <c r="A249" s="108"/>
      <c r="B249" s="108"/>
      <c r="C249" s="27" t="s">
        <v>19</v>
      </c>
      <c r="D249" s="28">
        <v>1563.9</v>
      </c>
      <c r="E249" s="30">
        <v>592.55100000000004</v>
      </c>
      <c r="F249" s="30">
        <v>592.55100000000004</v>
      </c>
      <c r="G249" s="31">
        <f t="shared" si="17"/>
        <v>0.37889315173604449</v>
      </c>
      <c r="H249" s="110"/>
      <c r="I249" s="112"/>
      <c r="J249" s="112"/>
      <c r="K249" s="110"/>
      <c r="L249" s="112"/>
      <c r="M249" s="292"/>
    </row>
    <row r="250" spans="1:13" s="3" customFormat="1" ht="18.95" customHeight="1">
      <c r="A250" s="108"/>
      <c r="B250" s="108"/>
      <c r="C250" s="27" t="s">
        <v>21</v>
      </c>
      <c r="D250" s="28">
        <v>0</v>
      </c>
      <c r="E250" s="30">
        <v>0</v>
      </c>
      <c r="F250" s="30">
        <v>0</v>
      </c>
      <c r="G250" s="31">
        <f t="shared" si="17"/>
        <v>0</v>
      </c>
      <c r="H250" s="110"/>
      <c r="I250" s="112"/>
      <c r="J250" s="112"/>
      <c r="K250" s="110"/>
      <c r="L250" s="112"/>
      <c r="M250" s="292"/>
    </row>
    <row r="251" spans="1:13" s="3" customFormat="1" ht="18.95" customHeight="1">
      <c r="A251" s="108"/>
      <c r="B251" s="108"/>
      <c r="C251" s="27" t="s">
        <v>31</v>
      </c>
      <c r="D251" s="28">
        <v>0</v>
      </c>
      <c r="E251" s="30">
        <v>0</v>
      </c>
      <c r="F251" s="30">
        <v>0</v>
      </c>
      <c r="G251" s="31">
        <f t="shared" si="17"/>
        <v>0</v>
      </c>
      <c r="H251" s="110"/>
      <c r="I251" s="113"/>
      <c r="J251" s="113"/>
      <c r="K251" s="110"/>
      <c r="L251" s="113"/>
      <c r="M251" s="292"/>
    </row>
    <row r="252" spans="1:13" s="3" customFormat="1" ht="18.95" customHeight="1">
      <c r="A252" s="107" t="s">
        <v>190</v>
      </c>
      <c r="B252" s="107" t="s">
        <v>191</v>
      </c>
      <c r="C252" s="27" t="s">
        <v>14</v>
      </c>
      <c r="D252" s="28">
        <f>SUM(D253:D256)</f>
        <v>13566.1</v>
      </c>
      <c r="E252" s="30">
        <f>SUM(E253:E256)</f>
        <v>0</v>
      </c>
      <c r="F252" s="30">
        <f>SUM(F253:F256)</f>
        <v>0</v>
      </c>
      <c r="G252" s="29">
        <f t="shared" si="17"/>
        <v>0</v>
      </c>
      <c r="H252" s="109" t="s">
        <v>192</v>
      </c>
      <c r="I252" s="111" t="s">
        <v>705</v>
      </c>
      <c r="J252" s="111" t="s">
        <v>105</v>
      </c>
      <c r="K252" s="109" t="s">
        <v>137</v>
      </c>
      <c r="L252" s="236" t="s">
        <v>797</v>
      </c>
      <c r="M252" s="292">
        <v>805</v>
      </c>
    </row>
    <row r="253" spans="1:13" s="3" customFormat="1" ht="18.95" customHeight="1">
      <c r="A253" s="108"/>
      <c r="B253" s="108"/>
      <c r="C253" s="27" t="s">
        <v>17</v>
      </c>
      <c r="D253" s="28">
        <v>13566.1</v>
      </c>
      <c r="E253" s="71">
        <v>0</v>
      </c>
      <c r="F253" s="30">
        <v>0</v>
      </c>
      <c r="G253" s="31">
        <f t="shared" si="17"/>
        <v>0</v>
      </c>
      <c r="H253" s="110"/>
      <c r="I253" s="112"/>
      <c r="J253" s="112"/>
      <c r="K253" s="110"/>
      <c r="L253" s="237"/>
      <c r="M253" s="292"/>
    </row>
    <row r="254" spans="1:13" s="3" customFormat="1" ht="18.95" customHeight="1">
      <c r="A254" s="108"/>
      <c r="B254" s="108"/>
      <c r="C254" s="27" t="s">
        <v>19</v>
      </c>
      <c r="D254" s="28">
        <v>0</v>
      </c>
      <c r="E254" s="71">
        <v>0</v>
      </c>
      <c r="F254" s="30">
        <v>0</v>
      </c>
      <c r="G254" s="31">
        <f t="shared" si="17"/>
        <v>0</v>
      </c>
      <c r="H254" s="110"/>
      <c r="I254" s="112"/>
      <c r="J254" s="112"/>
      <c r="K254" s="110"/>
      <c r="L254" s="237"/>
      <c r="M254" s="292"/>
    </row>
    <row r="255" spans="1:13" s="3" customFormat="1" ht="18.95" customHeight="1">
      <c r="A255" s="108"/>
      <c r="B255" s="108"/>
      <c r="C255" s="27" t="s">
        <v>21</v>
      </c>
      <c r="D255" s="28">
        <v>0</v>
      </c>
      <c r="E255" s="71">
        <v>0</v>
      </c>
      <c r="F255" s="30">
        <v>0</v>
      </c>
      <c r="G255" s="31">
        <f t="shared" si="17"/>
        <v>0</v>
      </c>
      <c r="H255" s="110"/>
      <c r="I255" s="112"/>
      <c r="J255" s="112"/>
      <c r="K255" s="110"/>
      <c r="L255" s="237"/>
      <c r="M255" s="292"/>
    </row>
    <row r="256" spans="1:13" s="3" customFormat="1" ht="18.95" customHeight="1">
      <c r="A256" s="108"/>
      <c r="B256" s="108"/>
      <c r="C256" s="27" t="s">
        <v>31</v>
      </c>
      <c r="D256" s="28">
        <v>0</v>
      </c>
      <c r="E256" s="71">
        <v>0</v>
      </c>
      <c r="F256" s="30">
        <v>0</v>
      </c>
      <c r="G256" s="31">
        <f t="shared" si="17"/>
        <v>0</v>
      </c>
      <c r="H256" s="110"/>
      <c r="I256" s="113"/>
      <c r="J256" s="113"/>
      <c r="K256" s="110"/>
      <c r="L256" s="238"/>
      <c r="M256" s="292"/>
    </row>
    <row r="257" spans="1:13" s="3" customFormat="1" ht="18.95" customHeight="1">
      <c r="A257" s="243" t="s">
        <v>193</v>
      </c>
      <c r="B257" s="107" t="s">
        <v>194</v>
      </c>
      <c r="C257" s="27" t="s">
        <v>14</v>
      </c>
      <c r="D257" s="28">
        <f>SUM(D258:D261)</f>
        <v>6000</v>
      </c>
      <c r="E257" s="71">
        <f>SUM(E258:E261)</f>
        <v>2638.4975100000001</v>
      </c>
      <c r="F257" s="30">
        <f>SUM(F258:F261)</f>
        <v>1692.8000000000002</v>
      </c>
      <c r="G257" s="29">
        <f t="shared" si="12"/>
        <v>0.28213333333333335</v>
      </c>
      <c r="H257" s="109" t="s">
        <v>195</v>
      </c>
      <c r="I257" s="111" t="s">
        <v>826</v>
      </c>
      <c r="J257" s="111" t="s">
        <v>105</v>
      </c>
      <c r="K257" s="109" t="s">
        <v>118</v>
      </c>
      <c r="L257" s="104" t="s">
        <v>798</v>
      </c>
      <c r="M257" s="292">
        <v>805</v>
      </c>
    </row>
    <row r="258" spans="1:13" s="3" customFormat="1" ht="18.95" customHeight="1">
      <c r="A258" s="244"/>
      <c r="B258" s="108"/>
      <c r="C258" s="27" t="s">
        <v>17</v>
      </c>
      <c r="D258" s="28">
        <v>1850.7</v>
      </c>
      <c r="E258" s="71">
        <v>813.9</v>
      </c>
      <c r="F258" s="30">
        <v>522.1</v>
      </c>
      <c r="G258" s="31">
        <f t="shared" si="12"/>
        <v>0.282109472091641</v>
      </c>
      <c r="H258" s="110"/>
      <c r="I258" s="112"/>
      <c r="J258" s="112"/>
      <c r="K258" s="110"/>
      <c r="L258" s="105"/>
      <c r="M258" s="292"/>
    </row>
    <row r="259" spans="1:13" s="3" customFormat="1" ht="18.95" customHeight="1">
      <c r="A259" s="244"/>
      <c r="B259" s="108"/>
      <c r="C259" s="27" t="s">
        <v>19</v>
      </c>
      <c r="D259" s="28">
        <v>4149.3</v>
      </c>
      <c r="E259" s="71">
        <v>1824.5975100000001</v>
      </c>
      <c r="F259" s="30">
        <v>1170.7</v>
      </c>
      <c r="G259" s="31">
        <f t="shared" si="12"/>
        <v>0.28214397609235292</v>
      </c>
      <c r="H259" s="110"/>
      <c r="I259" s="112"/>
      <c r="J259" s="112"/>
      <c r="K259" s="110"/>
      <c r="L259" s="105"/>
      <c r="M259" s="292"/>
    </row>
    <row r="260" spans="1:13" s="3" customFormat="1" ht="18.95" customHeight="1">
      <c r="A260" s="244"/>
      <c r="B260" s="108"/>
      <c r="C260" s="27" t="s">
        <v>21</v>
      </c>
      <c r="D260" s="28">
        <v>0</v>
      </c>
      <c r="E260" s="30">
        <v>0</v>
      </c>
      <c r="F260" s="30">
        <v>0</v>
      </c>
      <c r="G260" s="31">
        <f t="shared" si="12"/>
        <v>0</v>
      </c>
      <c r="H260" s="110"/>
      <c r="I260" s="112"/>
      <c r="J260" s="112"/>
      <c r="K260" s="110"/>
      <c r="L260" s="105"/>
      <c r="M260" s="292"/>
    </row>
    <row r="261" spans="1:13" s="3" customFormat="1" ht="18.95" customHeight="1">
      <c r="A261" s="244"/>
      <c r="B261" s="108"/>
      <c r="C261" s="27" t="s">
        <v>31</v>
      </c>
      <c r="D261" s="28">
        <v>0</v>
      </c>
      <c r="E261" s="30">
        <v>0</v>
      </c>
      <c r="F261" s="30">
        <v>0</v>
      </c>
      <c r="G261" s="31">
        <f t="shared" si="12"/>
        <v>0</v>
      </c>
      <c r="H261" s="110"/>
      <c r="I261" s="113"/>
      <c r="J261" s="113"/>
      <c r="K261" s="110"/>
      <c r="L261" s="106"/>
      <c r="M261" s="292"/>
    </row>
    <row r="262" spans="1:13" s="3" customFormat="1" ht="18.95" customHeight="1">
      <c r="A262" s="243" t="s">
        <v>196</v>
      </c>
      <c r="B262" s="107" t="s">
        <v>197</v>
      </c>
      <c r="C262" s="27" t="s">
        <v>14</v>
      </c>
      <c r="D262" s="28">
        <f>SUM(D263:D266)</f>
        <v>18255.5</v>
      </c>
      <c r="E262" s="30">
        <f>SUM(E263:E266)</f>
        <v>0</v>
      </c>
      <c r="F262" s="30">
        <f>SUM(F263:F266)</f>
        <v>0</v>
      </c>
      <c r="G262" s="29">
        <f t="shared" si="12"/>
        <v>0</v>
      </c>
      <c r="H262" s="109" t="s">
        <v>198</v>
      </c>
      <c r="I262" s="289" t="s">
        <v>717</v>
      </c>
      <c r="J262" s="111" t="s">
        <v>105</v>
      </c>
      <c r="K262" s="109" t="s">
        <v>118</v>
      </c>
      <c r="L262" s="128" t="s">
        <v>799</v>
      </c>
      <c r="M262" s="292">
        <v>805</v>
      </c>
    </row>
    <row r="263" spans="1:13" s="3" customFormat="1" ht="18.95" customHeight="1">
      <c r="A263" s="244"/>
      <c r="B263" s="108"/>
      <c r="C263" s="27" t="s">
        <v>17</v>
      </c>
      <c r="D263" s="28">
        <v>5631</v>
      </c>
      <c r="E263" s="30">
        <v>0</v>
      </c>
      <c r="F263" s="30">
        <v>0</v>
      </c>
      <c r="G263" s="31">
        <f t="shared" si="12"/>
        <v>0</v>
      </c>
      <c r="H263" s="110"/>
      <c r="I263" s="290"/>
      <c r="J263" s="112"/>
      <c r="K263" s="110"/>
      <c r="L263" s="129"/>
      <c r="M263" s="292"/>
    </row>
    <row r="264" spans="1:13" s="3" customFormat="1" ht="18.95" customHeight="1">
      <c r="A264" s="244"/>
      <c r="B264" s="108"/>
      <c r="C264" s="27" t="s">
        <v>19</v>
      </c>
      <c r="D264" s="28">
        <v>12624.5</v>
      </c>
      <c r="E264" s="30">
        <v>0</v>
      </c>
      <c r="F264" s="30">
        <v>0</v>
      </c>
      <c r="G264" s="31">
        <f t="shared" ref="G264:G317" si="18">IF(D264&lt;&gt;0,F264/D264,0)</f>
        <v>0</v>
      </c>
      <c r="H264" s="110"/>
      <c r="I264" s="290"/>
      <c r="J264" s="112"/>
      <c r="K264" s="110"/>
      <c r="L264" s="129"/>
      <c r="M264" s="292"/>
    </row>
    <row r="265" spans="1:13" s="3" customFormat="1" ht="18.95" customHeight="1">
      <c r="A265" s="244"/>
      <c r="B265" s="108"/>
      <c r="C265" s="27" t="s">
        <v>21</v>
      </c>
      <c r="D265" s="28">
        <v>0</v>
      </c>
      <c r="E265" s="30">
        <v>0</v>
      </c>
      <c r="F265" s="30">
        <v>0</v>
      </c>
      <c r="G265" s="31">
        <f t="shared" si="18"/>
        <v>0</v>
      </c>
      <c r="H265" s="110"/>
      <c r="I265" s="290"/>
      <c r="J265" s="112"/>
      <c r="K265" s="110"/>
      <c r="L265" s="129"/>
      <c r="M265" s="292"/>
    </row>
    <row r="266" spans="1:13" s="3" customFormat="1" ht="18.95" customHeight="1">
      <c r="A266" s="244"/>
      <c r="B266" s="108"/>
      <c r="C266" s="27" t="s">
        <v>31</v>
      </c>
      <c r="D266" s="28">
        <v>0</v>
      </c>
      <c r="E266" s="30">
        <v>0</v>
      </c>
      <c r="F266" s="30">
        <v>0</v>
      </c>
      <c r="G266" s="31">
        <f t="shared" si="18"/>
        <v>0</v>
      </c>
      <c r="H266" s="110"/>
      <c r="I266" s="291"/>
      <c r="J266" s="113"/>
      <c r="K266" s="110"/>
      <c r="L266" s="130"/>
      <c r="M266" s="292"/>
    </row>
    <row r="267" spans="1:13" s="3" customFormat="1" ht="18.95" hidden="1" customHeight="1">
      <c r="A267" s="243" t="s">
        <v>199</v>
      </c>
      <c r="B267" s="107" t="s">
        <v>200</v>
      </c>
      <c r="C267" s="27" t="s">
        <v>14</v>
      </c>
      <c r="D267" s="28">
        <f>SUM(D268:D271)</f>
        <v>0</v>
      </c>
      <c r="E267" s="30">
        <f>SUM(E268:E271)</f>
        <v>0</v>
      </c>
      <c r="F267" s="30">
        <f>SUM(F268:F271)</f>
        <v>0</v>
      </c>
      <c r="G267" s="29">
        <f t="shared" si="18"/>
        <v>0</v>
      </c>
      <c r="H267" s="109" t="s">
        <v>201</v>
      </c>
      <c r="I267" s="111"/>
      <c r="J267" s="111"/>
      <c r="K267" s="109" t="s">
        <v>118</v>
      </c>
      <c r="L267" s="104"/>
      <c r="M267" s="1"/>
    </row>
    <row r="268" spans="1:13" s="3" customFormat="1" ht="18.95" hidden="1" customHeight="1">
      <c r="A268" s="244"/>
      <c r="B268" s="108"/>
      <c r="C268" s="27" t="s">
        <v>17</v>
      </c>
      <c r="D268" s="28">
        <v>0</v>
      </c>
      <c r="E268" s="30">
        <v>0</v>
      </c>
      <c r="F268" s="30">
        <v>0</v>
      </c>
      <c r="G268" s="31">
        <f t="shared" si="18"/>
        <v>0</v>
      </c>
      <c r="H268" s="110"/>
      <c r="I268" s="112"/>
      <c r="J268" s="112"/>
      <c r="K268" s="110"/>
      <c r="L268" s="105"/>
      <c r="M268" s="1"/>
    </row>
    <row r="269" spans="1:13" s="3" customFormat="1" ht="18.95" hidden="1" customHeight="1">
      <c r="A269" s="244"/>
      <c r="B269" s="108"/>
      <c r="C269" s="27" t="s">
        <v>19</v>
      </c>
      <c r="D269" s="28">
        <v>0</v>
      </c>
      <c r="E269" s="30">
        <v>0</v>
      </c>
      <c r="F269" s="30">
        <v>0</v>
      </c>
      <c r="G269" s="31">
        <f t="shared" si="18"/>
        <v>0</v>
      </c>
      <c r="H269" s="110"/>
      <c r="I269" s="112"/>
      <c r="J269" s="112"/>
      <c r="K269" s="110"/>
      <c r="L269" s="105"/>
      <c r="M269" s="1"/>
    </row>
    <row r="270" spans="1:13" s="3" customFormat="1" ht="18.95" hidden="1" customHeight="1">
      <c r="A270" s="244"/>
      <c r="B270" s="108"/>
      <c r="C270" s="27" t="s">
        <v>21</v>
      </c>
      <c r="D270" s="28">
        <v>0</v>
      </c>
      <c r="E270" s="30">
        <v>0</v>
      </c>
      <c r="F270" s="30">
        <v>0</v>
      </c>
      <c r="G270" s="31">
        <f t="shared" si="18"/>
        <v>0</v>
      </c>
      <c r="H270" s="110"/>
      <c r="I270" s="112"/>
      <c r="J270" s="112"/>
      <c r="K270" s="110"/>
      <c r="L270" s="105"/>
      <c r="M270" s="1"/>
    </row>
    <row r="271" spans="1:13" s="3" customFormat="1" ht="18.95" hidden="1" customHeight="1">
      <c r="A271" s="244"/>
      <c r="B271" s="108"/>
      <c r="C271" s="27" t="s">
        <v>31</v>
      </c>
      <c r="D271" s="28">
        <v>0</v>
      </c>
      <c r="E271" s="30">
        <v>0</v>
      </c>
      <c r="F271" s="30">
        <v>0</v>
      </c>
      <c r="G271" s="31">
        <f t="shared" si="18"/>
        <v>0</v>
      </c>
      <c r="H271" s="110"/>
      <c r="I271" s="113"/>
      <c r="J271" s="113"/>
      <c r="K271" s="110"/>
      <c r="L271" s="106"/>
      <c r="M271" s="1"/>
    </row>
    <row r="272" spans="1:13" s="3" customFormat="1" ht="18.95" hidden="1" customHeight="1">
      <c r="A272" s="243" t="s">
        <v>199</v>
      </c>
      <c r="B272" s="107" t="s">
        <v>202</v>
      </c>
      <c r="C272" s="27" t="s">
        <v>14</v>
      </c>
      <c r="D272" s="32">
        <f>SUM(D273:D276)</f>
        <v>0</v>
      </c>
      <c r="E272" s="30">
        <f>SUM(E273:E276)</f>
        <v>0</v>
      </c>
      <c r="F272" s="30">
        <f>SUM(F273:F276)</f>
        <v>0</v>
      </c>
      <c r="G272" s="29">
        <f t="shared" si="18"/>
        <v>0</v>
      </c>
      <c r="H272" s="109" t="s">
        <v>203</v>
      </c>
      <c r="I272" s="111"/>
      <c r="J272" s="111"/>
      <c r="K272" s="109" t="s">
        <v>118</v>
      </c>
      <c r="L272" s="104"/>
      <c r="M272" s="1"/>
    </row>
    <row r="273" spans="1:13" s="3" customFormat="1" ht="18.95" hidden="1" customHeight="1">
      <c r="A273" s="244"/>
      <c r="B273" s="108"/>
      <c r="C273" s="27" t="s">
        <v>17</v>
      </c>
      <c r="D273" s="32">
        <v>0</v>
      </c>
      <c r="E273" s="30">
        <v>0</v>
      </c>
      <c r="F273" s="30">
        <v>0</v>
      </c>
      <c r="G273" s="31">
        <f t="shared" si="18"/>
        <v>0</v>
      </c>
      <c r="H273" s="110"/>
      <c r="I273" s="112"/>
      <c r="J273" s="112"/>
      <c r="K273" s="110"/>
      <c r="L273" s="105"/>
      <c r="M273" s="1"/>
    </row>
    <row r="274" spans="1:13" s="3" customFormat="1" ht="18.95" hidden="1" customHeight="1">
      <c r="A274" s="244"/>
      <c r="B274" s="108"/>
      <c r="C274" s="27" t="s">
        <v>19</v>
      </c>
      <c r="D274" s="32">
        <v>0</v>
      </c>
      <c r="E274" s="30">
        <v>0</v>
      </c>
      <c r="F274" s="30">
        <v>0</v>
      </c>
      <c r="G274" s="31">
        <f t="shared" si="18"/>
        <v>0</v>
      </c>
      <c r="H274" s="110"/>
      <c r="I274" s="112"/>
      <c r="J274" s="112"/>
      <c r="K274" s="110"/>
      <c r="L274" s="105"/>
      <c r="M274" s="1"/>
    </row>
    <row r="275" spans="1:13" s="3" customFormat="1" ht="18.95" hidden="1" customHeight="1">
      <c r="A275" s="244"/>
      <c r="B275" s="108"/>
      <c r="C275" s="27" t="s">
        <v>21</v>
      </c>
      <c r="D275" s="32">
        <v>0</v>
      </c>
      <c r="E275" s="30">
        <v>0</v>
      </c>
      <c r="F275" s="30">
        <v>0</v>
      </c>
      <c r="G275" s="31">
        <f t="shared" si="18"/>
        <v>0</v>
      </c>
      <c r="H275" s="110"/>
      <c r="I275" s="112"/>
      <c r="J275" s="112"/>
      <c r="K275" s="110"/>
      <c r="L275" s="105"/>
      <c r="M275" s="1"/>
    </row>
    <row r="276" spans="1:13" s="3" customFormat="1" ht="18.95" hidden="1" customHeight="1">
      <c r="A276" s="244"/>
      <c r="B276" s="108"/>
      <c r="C276" s="27" t="s">
        <v>31</v>
      </c>
      <c r="D276" s="32">
        <v>0</v>
      </c>
      <c r="E276" s="30">
        <v>0</v>
      </c>
      <c r="F276" s="30">
        <v>0</v>
      </c>
      <c r="G276" s="31">
        <f t="shared" si="18"/>
        <v>0</v>
      </c>
      <c r="H276" s="110"/>
      <c r="I276" s="113"/>
      <c r="J276" s="113"/>
      <c r="K276" s="110"/>
      <c r="L276" s="106"/>
      <c r="M276" s="1"/>
    </row>
    <row r="277" spans="1:13" s="3" customFormat="1" ht="18.95" hidden="1" customHeight="1">
      <c r="A277" s="243" t="s">
        <v>204</v>
      </c>
      <c r="B277" s="107" t="s">
        <v>205</v>
      </c>
      <c r="C277" s="27" t="s">
        <v>14</v>
      </c>
      <c r="D277" s="32">
        <f>SUM(D278:D281)</f>
        <v>0</v>
      </c>
      <c r="E277" s="30">
        <f>SUM(E278:E281)</f>
        <v>0</v>
      </c>
      <c r="F277" s="30">
        <f>SUM(F278:F281)</f>
        <v>0</v>
      </c>
      <c r="G277" s="29">
        <f t="shared" si="18"/>
        <v>0</v>
      </c>
      <c r="H277" s="109" t="s">
        <v>206</v>
      </c>
      <c r="I277" s="111"/>
      <c r="J277" s="111"/>
      <c r="K277" s="109" t="s">
        <v>207</v>
      </c>
      <c r="L277" s="104"/>
      <c r="M277" s="1"/>
    </row>
    <row r="278" spans="1:13" s="3" customFormat="1" ht="18.95" hidden="1" customHeight="1">
      <c r="A278" s="244"/>
      <c r="B278" s="108"/>
      <c r="C278" s="27" t="s">
        <v>17</v>
      </c>
      <c r="D278" s="32">
        <v>0</v>
      </c>
      <c r="E278" s="30">
        <v>0</v>
      </c>
      <c r="F278" s="30">
        <v>0</v>
      </c>
      <c r="G278" s="31">
        <f t="shared" si="18"/>
        <v>0</v>
      </c>
      <c r="H278" s="110"/>
      <c r="I278" s="112"/>
      <c r="J278" s="112"/>
      <c r="K278" s="110"/>
      <c r="L278" s="105"/>
      <c r="M278" s="1"/>
    </row>
    <row r="279" spans="1:13" s="3" customFormat="1" ht="18.95" hidden="1" customHeight="1">
      <c r="A279" s="244"/>
      <c r="B279" s="108"/>
      <c r="C279" s="27" t="s">
        <v>19</v>
      </c>
      <c r="D279" s="32">
        <v>0</v>
      </c>
      <c r="E279" s="30">
        <v>0</v>
      </c>
      <c r="F279" s="30">
        <v>0</v>
      </c>
      <c r="G279" s="31">
        <f t="shared" si="18"/>
        <v>0</v>
      </c>
      <c r="H279" s="110"/>
      <c r="I279" s="112"/>
      <c r="J279" s="112"/>
      <c r="K279" s="110"/>
      <c r="L279" s="105"/>
      <c r="M279" s="1"/>
    </row>
    <row r="280" spans="1:13" s="3" customFormat="1" ht="18.95" hidden="1" customHeight="1">
      <c r="A280" s="244"/>
      <c r="B280" s="108"/>
      <c r="C280" s="27" t="s">
        <v>21</v>
      </c>
      <c r="D280" s="32">
        <v>0</v>
      </c>
      <c r="E280" s="30">
        <v>0</v>
      </c>
      <c r="F280" s="30">
        <v>0</v>
      </c>
      <c r="G280" s="31">
        <f t="shared" si="18"/>
        <v>0</v>
      </c>
      <c r="H280" s="110"/>
      <c r="I280" s="112"/>
      <c r="J280" s="112"/>
      <c r="K280" s="110"/>
      <c r="L280" s="105"/>
      <c r="M280" s="1"/>
    </row>
    <row r="281" spans="1:13" s="3" customFormat="1" ht="18.95" hidden="1" customHeight="1">
      <c r="A281" s="244"/>
      <c r="B281" s="108"/>
      <c r="C281" s="27" t="s">
        <v>31</v>
      </c>
      <c r="D281" s="32">
        <v>0</v>
      </c>
      <c r="E281" s="30">
        <v>0</v>
      </c>
      <c r="F281" s="30">
        <v>0</v>
      </c>
      <c r="G281" s="31">
        <f t="shared" si="18"/>
        <v>0</v>
      </c>
      <c r="H281" s="110"/>
      <c r="I281" s="113"/>
      <c r="J281" s="113"/>
      <c r="K281" s="110"/>
      <c r="L281" s="106"/>
      <c r="M281" s="1"/>
    </row>
    <row r="282" spans="1:13" s="3" customFormat="1" ht="18.95" hidden="1" customHeight="1">
      <c r="A282" s="243" t="s">
        <v>208</v>
      </c>
      <c r="B282" s="107" t="s">
        <v>209</v>
      </c>
      <c r="C282" s="27" t="s">
        <v>14</v>
      </c>
      <c r="D282" s="32">
        <f>SUM(D283:D286)</f>
        <v>0</v>
      </c>
      <c r="E282" s="30">
        <f>SUM(E283:E286)</f>
        <v>0</v>
      </c>
      <c r="F282" s="30">
        <f>SUM(F283:F286)</f>
        <v>0</v>
      </c>
      <c r="G282" s="29">
        <f t="shared" si="18"/>
        <v>0</v>
      </c>
      <c r="H282" s="109" t="s">
        <v>209</v>
      </c>
      <c r="I282" s="111"/>
      <c r="J282" s="111"/>
      <c r="K282" s="109" t="s">
        <v>118</v>
      </c>
      <c r="L282" s="104"/>
      <c r="M282" s="1"/>
    </row>
    <row r="283" spans="1:13" s="3" customFormat="1" ht="18.95" hidden="1" customHeight="1">
      <c r="A283" s="244"/>
      <c r="B283" s="108"/>
      <c r="C283" s="27" t="s">
        <v>17</v>
      </c>
      <c r="D283" s="32">
        <v>0</v>
      </c>
      <c r="E283" s="30">
        <v>0</v>
      </c>
      <c r="F283" s="30">
        <v>0</v>
      </c>
      <c r="G283" s="31">
        <f t="shared" si="18"/>
        <v>0</v>
      </c>
      <c r="H283" s="110"/>
      <c r="I283" s="112"/>
      <c r="J283" s="112"/>
      <c r="K283" s="110"/>
      <c r="L283" s="105"/>
      <c r="M283" s="1"/>
    </row>
    <row r="284" spans="1:13" s="3" customFormat="1" ht="18.95" hidden="1" customHeight="1">
      <c r="A284" s="244"/>
      <c r="B284" s="108"/>
      <c r="C284" s="27" t="s">
        <v>19</v>
      </c>
      <c r="D284" s="32">
        <v>0</v>
      </c>
      <c r="E284" s="30">
        <v>0</v>
      </c>
      <c r="F284" s="30">
        <v>0</v>
      </c>
      <c r="G284" s="31">
        <f t="shared" si="18"/>
        <v>0</v>
      </c>
      <c r="H284" s="110"/>
      <c r="I284" s="112"/>
      <c r="J284" s="112"/>
      <c r="K284" s="110"/>
      <c r="L284" s="105"/>
      <c r="M284" s="1"/>
    </row>
    <row r="285" spans="1:13" s="3" customFormat="1" ht="18.95" hidden="1" customHeight="1">
      <c r="A285" s="244"/>
      <c r="B285" s="108"/>
      <c r="C285" s="27" t="s">
        <v>21</v>
      </c>
      <c r="D285" s="32">
        <v>0</v>
      </c>
      <c r="E285" s="30">
        <v>0</v>
      </c>
      <c r="F285" s="30">
        <v>0</v>
      </c>
      <c r="G285" s="31">
        <f t="shared" si="18"/>
        <v>0</v>
      </c>
      <c r="H285" s="110"/>
      <c r="I285" s="112"/>
      <c r="J285" s="112"/>
      <c r="K285" s="110"/>
      <c r="L285" s="105"/>
      <c r="M285" s="1"/>
    </row>
    <row r="286" spans="1:13" s="3" customFormat="1" ht="18.95" hidden="1" customHeight="1">
      <c r="A286" s="244"/>
      <c r="B286" s="108"/>
      <c r="C286" s="27" t="s">
        <v>31</v>
      </c>
      <c r="D286" s="32">
        <v>0</v>
      </c>
      <c r="E286" s="30">
        <v>0</v>
      </c>
      <c r="F286" s="30">
        <v>0</v>
      </c>
      <c r="G286" s="31">
        <f t="shared" si="18"/>
        <v>0</v>
      </c>
      <c r="H286" s="110"/>
      <c r="I286" s="113"/>
      <c r="J286" s="113"/>
      <c r="K286" s="110"/>
      <c r="L286" s="106"/>
      <c r="M286" s="1"/>
    </row>
    <row r="287" spans="1:13" s="3" customFormat="1" ht="18.95" customHeight="1">
      <c r="A287" s="123" t="s">
        <v>210</v>
      </c>
      <c r="B287" s="123" t="s">
        <v>211</v>
      </c>
      <c r="C287" s="40" t="s">
        <v>14</v>
      </c>
      <c r="D287" s="41">
        <f>SUM(D288:D291)</f>
        <v>1448471.2999999998</v>
      </c>
      <c r="E287" s="42">
        <f>SUM(E288:E291)</f>
        <v>675061.28145000001</v>
      </c>
      <c r="F287" s="42">
        <f>SUM(F288:F291)</f>
        <v>651095.9</v>
      </c>
      <c r="G287" s="43">
        <f>IF(D287&lt;&gt;0,F287/D287,0)</f>
        <v>0.44950555803211295</v>
      </c>
      <c r="H287" s="121" t="s">
        <v>212</v>
      </c>
      <c r="I287" s="65" t="s">
        <v>15</v>
      </c>
      <c r="J287" s="65">
        <v>3</v>
      </c>
      <c r="K287" s="121" t="s">
        <v>213</v>
      </c>
      <c r="L287" s="125"/>
      <c r="M287" s="292">
        <v>805</v>
      </c>
    </row>
    <row r="288" spans="1:13" s="3" customFormat="1" ht="18.95" customHeight="1">
      <c r="A288" s="124"/>
      <c r="B288" s="124"/>
      <c r="C288" s="40" t="s">
        <v>17</v>
      </c>
      <c r="D288" s="41">
        <f t="shared" ref="D288:F289" si="19">D293+D298+D303</f>
        <v>453235.6</v>
      </c>
      <c r="E288" s="47">
        <f t="shared" si="19"/>
        <v>125536.08145</v>
      </c>
      <c r="F288" s="47">
        <f t="shared" si="19"/>
        <v>104906</v>
      </c>
      <c r="G288" s="45">
        <f>IF(D288&lt;&gt;0,F288/D288,0)</f>
        <v>0.23146019421245817</v>
      </c>
      <c r="H288" s="122"/>
      <c r="I288" s="65" t="s">
        <v>18</v>
      </c>
      <c r="J288" s="65">
        <f>COUNTIF($J$292:$J$306,"да")</f>
        <v>0</v>
      </c>
      <c r="K288" s="122"/>
      <c r="L288" s="126"/>
      <c r="M288" s="292"/>
    </row>
    <row r="289" spans="1:13" s="3" customFormat="1" ht="18.95" customHeight="1">
      <c r="A289" s="124"/>
      <c r="B289" s="124"/>
      <c r="C289" s="40" t="s">
        <v>19</v>
      </c>
      <c r="D289" s="41">
        <f t="shared" si="19"/>
        <v>72506.5</v>
      </c>
      <c r="E289" s="47">
        <f t="shared" si="19"/>
        <v>19638.3</v>
      </c>
      <c r="F289" s="47">
        <f t="shared" si="19"/>
        <v>16303</v>
      </c>
      <c r="G289" s="45">
        <f>IF(D289&lt;&gt;0,F289/D289,0)</f>
        <v>0.22484880665871335</v>
      </c>
      <c r="H289" s="122"/>
      <c r="I289" s="65" t="s">
        <v>20</v>
      </c>
      <c r="J289" s="65">
        <f>COUNTIF($J$292:$J$306,"частично")</f>
        <v>3</v>
      </c>
      <c r="K289" s="122"/>
      <c r="L289" s="126"/>
      <c r="M289" s="292"/>
    </row>
    <row r="290" spans="1:13" s="3" customFormat="1" ht="18.95" customHeight="1">
      <c r="A290" s="124"/>
      <c r="B290" s="124"/>
      <c r="C290" s="40" t="s">
        <v>21</v>
      </c>
      <c r="D290" s="41">
        <v>0</v>
      </c>
      <c r="E290" s="47">
        <f>E295+E300+E305</f>
        <v>0</v>
      </c>
      <c r="F290" s="47">
        <f>F295+F300+F305</f>
        <v>0</v>
      </c>
      <c r="G290" s="45">
        <f>IF(D290&lt;&gt;0,F290/D290,0)</f>
        <v>0</v>
      </c>
      <c r="H290" s="122"/>
      <c r="I290" s="65" t="s">
        <v>22</v>
      </c>
      <c r="J290" s="65">
        <f>COUNTIF($J$292:$J$306,"нет")</f>
        <v>0</v>
      </c>
      <c r="K290" s="122"/>
      <c r="L290" s="126"/>
      <c r="M290" s="292"/>
    </row>
    <row r="291" spans="1:13" s="3" customFormat="1" ht="18.95" customHeight="1">
      <c r="A291" s="124"/>
      <c r="B291" s="124"/>
      <c r="C291" s="40" t="s">
        <v>31</v>
      </c>
      <c r="D291" s="41">
        <f>D296+D301+D306</f>
        <v>922729.2</v>
      </c>
      <c r="E291" s="47">
        <f>E296+E301+E306</f>
        <v>529886.9</v>
      </c>
      <c r="F291" s="47">
        <f>F296+F301+F306</f>
        <v>529886.9</v>
      </c>
      <c r="G291" s="45">
        <f>IF(D291&lt;&gt;0,F291/D291,0)</f>
        <v>0.57426046558405219</v>
      </c>
      <c r="H291" s="122"/>
      <c r="I291" s="65" t="s">
        <v>24</v>
      </c>
      <c r="J291" s="66">
        <f>IF(J287=0,0,(J288+J289*0.5)/J287)</f>
        <v>0.5</v>
      </c>
      <c r="K291" s="122"/>
      <c r="L291" s="127"/>
      <c r="M291" s="292"/>
    </row>
    <row r="292" spans="1:13" s="3" customFormat="1" ht="18.95" customHeight="1">
      <c r="A292" s="107" t="s">
        <v>214</v>
      </c>
      <c r="B292" s="107" t="s">
        <v>215</v>
      </c>
      <c r="C292" s="27" t="s">
        <v>14</v>
      </c>
      <c r="D292" s="28">
        <f>SUM(D293:D296)</f>
        <v>922729.2</v>
      </c>
      <c r="E292" s="30">
        <f>SUM(E293:E296)</f>
        <v>529886.9</v>
      </c>
      <c r="F292" s="30">
        <f>SUM(F293:F296)</f>
        <v>529886.9</v>
      </c>
      <c r="G292" s="29">
        <f t="shared" si="18"/>
        <v>0.57426046558405219</v>
      </c>
      <c r="H292" s="216" t="s">
        <v>216</v>
      </c>
      <c r="I292" s="176" t="s">
        <v>743</v>
      </c>
      <c r="J292" s="111" t="s">
        <v>701</v>
      </c>
      <c r="K292" s="109" t="s">
        <v>176</v>
      </c>
      <c r="L292" s="104" t="s">
        <v>744</v>
      </c>
      <c r="M292" s="292">
        <v>805</v>
      </c>
    </row>
    <row r="293" spans="1:13" s="3" customFormat="1" ht="18.95" customHeight="1">
      <c r="A293" s="108"/>
      <c r="B293" s="108"/>
      <c r="C293" s="27" t="s">
        <v>17</v>
      </c>
      <c r="D293" s="28">
        <v>0</v>
      </c>
      <c r="E293" s="30">
        <v>0</v>
      </c>
      <c r="F293" s="30">
        <v>0</v>
      </c>
      <c r="G293" s="31">
        <f t="shared" si="18"/>
        <v>0</v>
      </c>
      <c r="H293" s="217"/>
      <c r="I293" s="177"/>
      <c r="J293" s="112"/>
      <c r="K293" s="110"/>
      <c r="L293" s="105"/>
      <c r="M293" s="292"/>
    </row>
    <row r="294" spans="1:13" s="3" customFormat="1" ht="18.95" customHeight="1">
      <c r="A294" s="108"/>
      <c r="B294" s="108"/>
      <c r="C294" s="27" t="s">
        <v>19</v>
      </c>
      <c r="D294" s="28">
        <v>0</v>
      </c>
      <c r="E294" s="30">
        <v>0</v>
      </c>
      <c r="F294" s="30">
        <v>0</v>
      </c>
      <c r="G294" s="31">
        <f t="shared" si="18"/>
        <v>0</v>
      </c>
      <c r="H294" s="217"/>
      <c r="I294" s="177"/>
      <c r="J294" s="112"/>
      <c r="K294" s="110"/>
      <c r="L294" s="105"/>
      <c r="M294" s="292"/>
    </row>
    <row r="295" spans="1:13" s="3" customFormat="1" ht="18.95" customHeight="1">
      <c r="A295" s="108"/>
      <c r="B295" s="108"/>
      <c r="C295" s="27" t="s">
        <v>21</v>
      </c>
      <c r="D295" s="28">
        <v>0</v>
      </c>
      <c r="E295" s="30">
        <v>0</v>
      </c>
      <c r="F295" s="30">
        <v>0</v>
      </c>
      <c r="G295" s="31">
        <f t="shared" si="18"/>
        <v>0</v>
      </c>
      <c r="H295" s="217"/>
      <c r="I295" s="177"/>
      <c r="J295" s="112"/>
      <c r="K295" s="110"/>
      <c r="L295" s="105"/>
      <c r="M295" s="292"/>
    </row>
    <row r="296" spans="1:13" s="3" customFormat="1" ht="18.95" customHeight="1">
      <c r="A296" s="108"/>
      <c r="B296" s="108"/>
      <c r="C296" s="27" t="s">
        <v>31</v>
      </c>
      <c r="D296" s="28">
        <v>922729.2</v>
      </c>
      <c r="E296" s="30">
        <v>529886.9</v>
      </c>
      <c r="F296" s="30">
        <v>529886.9</v>
      </c>
      <c r="G296" s="31">
        <f t="shared" si="18"/>
        <v>0.57426046558405219</v>
      </c>
      <c r="H296" s="217"/>
      <c r="I296" s="178"/>
      <c r="J296" s="113"/>
      <c r="K296" s="110"/>
      <c r="L296" s="106"/>
      <c r="M296" s="292"/>
    </row>
    <row r="297" spans="1:13" s="3" customFormat="1" ht="18.95" customHeight="1">
      <c r="A297" s="107" t="s">
        <v>217</v>
      </c>
      <c r="B297" s="107" t="s">
        <v>37</v>
      </c>
      <c r="C297" s="27" t="s">
        <v>14</v>
      </c>
      <c r="D297" s="28">
        <f>SUM(D298:D301)</f>
        <v>515032.1</v>
      </c>
      <c r="E297" s="30">
        <f>SUM(E298:E301)</f>
        <v>140401.58145</v>
      </c>
      <c r="F297" s="30">
        <f>SUM(F298:F301)</f>
        <v>116436.2</v>
      </c>
      <c r="G297" s="29">
        <f t="shared" si="18"/>
        <v>0.22607561742268104</v>
      </c>
      <c r="H297" s="216" t="s">
        <v>218</v>
      </c>
      <c r="I297" s="176" t="s">
        <v>219</v>
      </c>
      <c r="J297" s="128" t="s">
        <v>701</v>
      </c>
      <c r="K297" s="109" t="s">
        <v>220</v>
      </c>
      <c r="L297" s="104" t="s">
        <v>800</v>
      </c>
      <c r="M297" s="292">
        <v>805</v>
      </c>
    </row>
    <row r="298" spans="1:13" s="3" customFormat="1" ht="18.95" customHeight="1">
      <c r="A298" s="108"/>
      <c r="B298" s="108"/>
      <c r="C298" s="27" t="s">
        <v>17</v>
      </c>
      <c r="D298" s="28">
        <f>442525.6</f>
        <v>442525.6</v>
      </c>
      <c r="E298" s="30">
        <v>120763.28144999999</v>
      </c>
      <c r="F298" s="30">
        <v>100133.2</v>
      </c>
      <c r="G298" s="31">
        <f t="shared" si="18"/>
        <v>0.22627662670814977</v>
      </c>
      <c r="H298" s="217"/>
      <c r="I298" s="177"/>
      <c r="J298" s="129"/>
      <c r="K298" s="110"/>
      <c r="L298" s="105"/>
      <c r="M298" s="292"/>
    </row>
    <row r="299" spans="1:13" s="3" customFormat="1" ht="18.95" customHeight="1">
      <c r="A299" s="108"/>
      <c r="B299" s="108"/>
      <c r="C299" s="27" t="s">
        <v>19</v>
      </c>
      <c r="D299" s="28">
        <v>72506.5</v>
      </c>
      <c r="E299" s="30">
        <v>19638.3</v>
      </c>
      <c r="F299" s="30">
        <v>16303</v>
      </c>
      <c r="G299" s="31">
        <f t="shared" si="18"/>
        <v>0.22484880665871335</v>
      </c>
      <c r="H299" s="217"/>
      <c r="I299" s="177"/>
      <c r="J299" s="129"/>
      <c r="K299" s="110"/>
      <c r="L299" s="105"/>
      <c r="M299" s="292"/>
    </row>
    <row r="300" spans="1:13" s="3" customFormat="1" ht="18.95" customHeight="1">
      <c r="A300" s="108"/>
      <c r="B300" s="108"/>
      <c r="C300" s="27" t="s">
        <v>21</v>
      </c>
      <c r="D300" s="28">
        <v>0</v>
      </c>
      <c r="E300" s="30">
        <v>0</v>
      </c>
      <c r="F300" s="30">
        <v>0</v>
      </c>
      <c r="G300" s="31">
        <f t="shared" si="18"/>
        <v>0</v>
      </c>
      <c r="H300" s="217"/>
      <c r="I300" s="177"/>
      <c r="J300" s="129"/>
      <c r="K300" s="110"/>
      <c r="L300" s="105"/>
      <c r="M300" s="292"/>
    </row>
    <row r="301" spans="1:13" s="3" customFormat="1" ht="18.95" customHeight="1">
      <c r="A301" s="108"/>
      <c r="B301" s="108"/>
      <c r="C301" s="27" t="s">
        <v>31</v>
      </c>
      <c r="D301" s="28">
        <v>0</v>
      </c>
      <c r="E301" s="30">
        <v>0</v>
      </c>
      <c r="F301" s="30">
        <v>0</v>
      </c>
      <c r="G301" s="31">
        <f t="shared" si="18"/>
        <v>0</v>
      </c>
      <c r="H301" s="217"/>
      <c r="I301" s="178"/>
      <c r="J301" s="130"/>
      <c r="K301" s="110"/>
      <c r="L301" s="106"/>
      <c r="M301" s="292"/>
    </row>
    <row r="302" spans="1:13" s="3" customFormat="1" ht="18.95" customHeight="1">
      <c r="A302" s="107" t="s">
        <v>221</v>
      </c>
      <c r="B302" s="107" t="s">
        <v>222</v>
      </c>
      <c r="C302" s="27" t="s">
        <v>14</v>
      </c>
      <c r="D302" s="28">
        <f>SUM(D303:D306)</f>
        <v>10710</v>
      </c>
      <c r="E302" s="30">
        <f>SUM(E303:E306)</f>
        <v>4772.8</v>
      </c>
      <c r="F302" s="30">
        <f>SUM(F303:F306)</f>
        <v>4772.8</v>
      </c>
      <c r="G302" s="29">
        <f t="shared" si="18"/>
        <v>0.44563958916900093</v>
      </c>
      <c r="H302" s="109" t="s">
        <v>223</v>
      </c>
      <c r="I302" s="111" t="s">
        <v>692</v>
      </c>
      <c r="J302" s="111" t="s">
        <v>701</v>
      </c>
      <c r="K302" s="109" t="s">
        <v>224</v>
      </c>
      <c r="L302" s="104" t="s">
        <v>800</v>
      </c>
      <c r="M302" s="292">
        <v>805</v>
      </c>
    </row>
    <row r="303" spans="1:13" s="3" customFormat="1" ht="18.95" customHeight="1">
      <c r="A303" s="108"/>
      <c r="B303" s="108"/>
      <c r="C303" s="27" t="s">
        <v>17</v>
      </c>
      <c r="D303" s="28">
        <v>10710</v>
      </c>
      <c r="E303" s="30">
        <v>4772.8</v>
      </c>
      <c r="F303" s="30">
        <v>4772.8</v>
      </c>
      <c r="G303" s="31">
        <f t="shared" si="18"/>
        <v>0.44563958916900093</v>
      </c>
      <c r="H303" s="110"/>
      <c r="I303" s="112"/>
      <c r="J303" s="112"/>
      <c r="K303" s="110"/>
      <c r="L303" s="105"/>
      <c r="M303" s="292"/>
    </row>
    <row r="304" spans="1:13" s="3" customFormat="1" ht="18.95" customHeight="1">
      <c r="A304" s="108"/>
      <c r="B304" s="108"/>
      <c r="C304" s="27" t="s">
        <v>19</v>
      </c>
      <c r="D304" s="28">
        <v>0</v>
      </c>
      <c r="E304" s="30">
        <v>0</v>
      </c>
      <c r="F304" s="30">
        <v>0</v>
      </c>
      <c r="G304" s="31">
        <f t="shared" si="18"/>
        <v>0</v>
      </c>
      <c r="H304" s="110"/>
      <c r="I304" s="112"/>
      <c r="J304" s="112"/>
      <c r="K304" s="110"/>
      <c r="L304" s="105"/>
      <c r="M304" s="292"/>
    </row>
    <row r="305" spans="1:13" s="3" customFormat="1" ht="18.95" customHeight="1">
      <c r="A305" s="108"/>
      <c r="B305" s="108"/>
      <c r="C305" s="27" t="s">
        <v>21</v>
      </c>
      <c r="D305" s="28">
        <v>0</v>
      </c>
      <c r="E305" s="30">
        <v>0</v>
      </c>
      <c r="F305" s="30">
        <v>0</v>
      </c>
      <c r="G305" s="31">
        <f t="shared" si="18"/>
        <v>0</v>
      </c>
      <c r="H305" s="110"/>
      <c r="I305" s="112"/>
      <c r="J305" s="112"/>
      <c r="K305" s="110"/>
      <c r="L305" s="105"/>
      <c r="M305" s="292"/>
    </row>
    <row r="306" spans="1:13" s="3" customFormat="1" ht="18.95" customHeight="1">
      <c r="A306" s="108"/>
      <c r="B306" s="108"/>
      <c r="C306" s="27" t="s">
        <v>31</v>
      </c>
      <c r="D306" s="28">
        <v>0</v>
      </c>
      <c r="E306" s="30">
        <v>0</v>
      </c>
      <c r="F306" s="30">
        <v>0</v>
      </c>
      <c r="G306" s="31">
        <f t="shared" si="18"/>
        <v>0</v>
      </c>
      <c r="H306" s="110"/>
      <c r="I306" s="113"/>
      <c r="J306" s="113"/>
      <c r="K306" s="110"/>
      <c r="L306" s="106"/>
      <c r="M306" s="292"/>
    </row>
    <row r="307" spans="1:13" s="3" customFormat="1" ht="18.95" customHeight="1">
      <c r="A307" s="123" t="s">
        <v>225</v>
      </c>
      <c r="B307" s="123" t="s">
        <v>226</v>
      </c>
      <c r="C307" s="40" t="s">
        <v>14</v>
      </c>
      <c r="D307" s="41">
        <f>SUM(D308:D311)</f>
        <v>353225.5</v>
      </c>
      <c r="E307" s="42">
        <f>SUM(E308:E311)</f>
        <v>83548.3</v>
      </c>
      <c r="F307" s="42">
        <f>SUM(F308:F311)</f>
        <v>83548.3</v>
      </c>
      <c r="G307" s="43">
        <f t="shared" si="18"/>
        <v>0.23652963899831694</v>
      </c>
      <c r="H307" s="121" t="s">
        <v>227</v>
      </c>
      <c r="I307" s="65" t="s">
        <v>15</v>
      </c>
      <c r="J307" s="65">
        <v>2</v>
      </c>
      <c r="K307" s="121" t="s">
        <v>228</v>
      </c>
      <c r="L307" s="125"/>
      <c r="M307" s="292">
        <v>805</v>
      </c>
    </row>
    <row r="308" spans="1:13" s="3" customFormat="1" ht="18.95" customHeight="1">
      <c r="A308" s="124"/>
      <c r="B308" s="124"/>
      <c r="C308" s="40" t="s">
        <v>17</v>
      </c>
      <c r="D308" s="41">
        <f>SUM(D313,D318)</f>
        <v>0</v>
      </c>
      <c r="E308" s="42">
        <f>E313+E318</f>
        <v>0</v>
      </c>
      <c r="F308" s="42">
        <f>F313+F318</f>
        <v>0</v>
      </c>
      <c r="G308" s="45">
        <f t="shared" si="18"/>
        <v>0</v>
      </c>
      <c r="H308" s="122"/>
      <c r="I308" s="65" t="s">
        <v>18</v>
      </c>
      <c r="J308" s="65">
        <f>COUNTIF($J$312:$J$321,"да")</f>
        <v>0</v>
      </c>
      <c r="K308" s="122"/>
      <c r="L308" s="126"/>
      <c r="M308" s="292"/>
    </row>
    <row r="309" spans="1:13" s="3" customFormat="1" ht="18.95" customHeight="1">
      <c r="A309" s="124"/>
      <c r="B309" s="124"/>
      <c r="C309" s="40" t="s">
        <v>19</v>
      </c>
      <c r="D309" s="41">
        <f>SUM(D314,D319)</f>
        <v>0</v>
      </c>
      <c r="E309" s="42">
        <f t="shared" ref="E309:F311" si="20">E314+E319</f>
        <v>0</v>
      </c>
      <c r="F309" s="42">
        <f t="shared" si="20"/>
        <v>0</v>
      </c>
      <c r="G309" s="45">
        <f t="shared" si="18"/>
        <v>0</v>
      </c>
      <c r="H309" s="122"/>
      <c r="I309" s="65" t="s">
        <v>20</v>
      </c>
      <c r="J309" s="65">
        <f>COUNTIF($J$312:$J$321,"частично")</f>
        <v>1</v>
      </c>
      <c r="K309" s="122"/>
      <c r="L309" s="126"/>
      <c r="M309" s="292"/>
    </row>
    <row r="310" spans="1:13" s="3" customFormat="1" ht="18.95" customHeight="1">
      <c r="A310" s="124"/>
      <c r="B310" s="124"/>
      <c r="C310" s="40" t="s">
        <v>21</v>
      </c>
      <c r="D310" s="41"/>
      <c r="E310" s="42">
        <f t="shared" si="20"/>
        <v>0</v>
      </c>
      <c r="F310" s="42">
        <f t="shared" si="20"/>
        <v>0</v>
      </c>
      <c r="G310" s="45">
        <f t="shared" si="18"/>
        <v>0</v>
      </c>
      <c r="H310" s="122"/>
      <c r="I310" s="65" t="s">
        <v>22</v>
      </c>
      <c r="J310" s="65">
        <f>COUNTIF($J$312:$J$321,"нет")</f>
        <v>1</v>
      </c>
      <c r="K310" s="122"/>
      <c r="L310" s="126"/>
      <c r="M310" s="292"/>
    </row>
    <row r="311" spans="1:13" s="3" customFormat="1" ht="18.95" customHeight="1">
      <c r="A311" s="124"/>
      <c r="B311" s="124"/>
      <c r="C311" s="40" t="s">
        <v>31</v>
      </c>
      <c r="D311" s="41">
        <f>SUM(D316,D321)</f>
        <v>353225.5</v>
      </c>
      <c r="E311" s="42">
        <f t="shared" si="20"/>
        <v>83548.3</v>
      </c>
      <c r="F311" s="42">
        <f t="shared" si="20"/>
        <v>83548.3</v>
      </c>
      <c r="G311" s="45">
        <f t="shared" si="18"/>
        <v>0.23652963899831694</v>
      </c>
      <c r="H311" s="122"/>
      <c r="I311" s="65" t="s">
        <v>24</v>
      </c>
      <c r="J311" s="66">
        <f>IF(J307=0,0,(J308+J309*0.5)/J307)</f>
        <v>0.25</v>
      </c>
      <c r="K311" s="122"/>
      <c r="L311" s="127"/>
      <c r="M311" s="292"/>
    </row>
    <row r="312" spans="1:13" s="3" customFormat="1" ht="18.95" customHeight="1">
      <c r="A312" s="107" t="s">
        <v>229</v>
      </c>
      <c r="B312" s="107" t="s">
        <v>230</v>
      </c>
      <c r="C312" s="27" t="s">
        <v>14</v>
      </c>
      <c r="D312" s="28">
        <f>SUM(D313:D316)</f>
        <v>264634.90000000002</v>
      </c>
      <c r="E312" s="30">
        <f>SUM(E313:E316)</f>
        <v>49757</v>
      </c>
      <c r="F312" s="30">
        <f>SUM(F313:F316)</f>
        <v>49757</v>
      </c>
      <c r="G312" s="29">
        <f t="shared" si="18"/>
        <v>0.1880213078471509</v>
      </c>
      <c r="H312" s="109" t="s">
        <v>231</v>
      </c>
      <c r="I312" s="111" t="s">
        <v>741</v>
      </c>
      <c r="J312" s="128" t="s">
        <v>105</v>
      </c>
      <c r="K312" s="109" t="s">
        <v>232</v>
      </c>
      <c r="L312" s="104" t="s">
        <v>801</v>
      </c>
      <c r="M312" s="292">
        <v>805</v>
      </c>
    </row>
    <row r="313" spans="1:13" s="3" customFormat="1" ht="18.95" customHeight="1">
      <c r="A313" s="108"/>
      <c r="B313" s="108"/>
      <c r="C313" s="27" t="s">
        <v>17</v>
      </c>
      <c r="D313" s="28">
        <v>0</v>
      </c>
      <c r="E313" s="30">
        <v>0</v>
      </c>
      <c r="F313" s="30">
        <v>0</v>
      </c>
      <c r="G313" s="31">
        <f t="shared" si="18"/>
        <v>0</v>
      </c>
      <c r="H313" s="110"/>
      <c r="I313" s="112"/>
      <c r="J313" s="129"/>
      <c r="K313" s="110"/>
      <c r="L313" s="105"/>
      <c r="M313" s="292"/>
    </row>
    <row r="314" spans="1:13" s="3" customFormat="1" ht="18.95" customHeight="1">
      <c r="A314" s="108"/>
      <c r="B314" s="108"/>
      <c r="C314" s="27" t="s">
        <v>19</v>
      </c>
      <c r="D314" s="28">
        <v>0</v>
      </c>
      <c r="E314" s="30">
        <v>0</v>
      </c>
      <c r="F314" s="30">
        <v>0</v>
      </c>
      <c r="G314" s="31">
        <f t="shared" si="18"/>
        <v>0</v>
      </c>
      <c r="H314" s="110"/>
      <c r="I314" s="112"/>
      <c r="J314" s="129"/>
      <c r="K314" s="110"/>
      <c r="L314" s="105"/>
      <c r="M314" s="292"/>
    </row>
    <row r="315" spans="1:13" s="3" customFormat="1" ht="18.95" customHeight="1">
      <c r="A315" s="108"/>
      <c r="B315" s="108"/>
      <c r="C315" s="27" t="s">
        <v>21</v>
      </c>
      <c r="D315" s="28">
        <v>0</v>
      </c>
      <c r="E315" s="30">
        <v>0</v>
      </c>
      <c r="F315" s="30">
        <v>0</v>
      </c>
      <c r="G315" s="31">
        <f t="shared" si="18"/>
        <v>0</v>
      </c>
      <c r="H315" s="110"/>
      <c r="I315" s="112"/>
      <c r="J315" s="129"/>
      <c r="K315" s="110"/>
      <c r="L315" s="105"/>
      <c r="M315" s="292"/>
    </row>
    <row r="316" spans="1:13" s="3" customFormat="1" ht="18.95" customHeight="1">
      <c r="A316" s="108"/>
      <c r="B316" s="108"/>
      <c r="C316" s="27" t="s">
        <v>31</v>
      </c>
      <c r="D316" s="28">
        <v>264634.90000000002</v>
      </c>
      <c r="E316" s="30">
        <v>49757</v>
      </c>
      <c r="F316" s="30">
        <v>49757</v>
      </c>
      <c r="G316" s="31">
        <f t="shared" si="18"/>
        <v>0.1880213078471509</v>
      </c>
      <c r="H316" s="110"/>
      <c r="I316" s="113"/>
      <c r="J316" s="130"/>
      <c r="K316" s="110"/>
      <c r="L316" s="106"/>
      <c r="M316" s="292"/>
    </row>
    <row r="317" spans="1:13" s="3" customFormat="1" ht="18.95" customHeight="1">
      <c r="A317" s="107" t="s">
        <v>233</v>
      </c>
      <c r="B317" s="107" t="s">
        <v>234</v>
      </c>
      <c r="C317" s="27" t="s">
        <v>14</v>
      </c>
      <c r="D317" s="28">
        <f>SUM(D318:D321)</f>
        <v>88590.6</v>
      </c>
      <c r="E317" s="30">
        <f>SUM(E318:E321)</f>
        <v>33791.300000000003</v>
      </c>
      <c r="F317" s="30">
        <f>SUM(F318:F321)</f>
        <v>33791.300000000003</v>
      </c>
      <c r="G317" s="29">
        <f t="shared" si="18"/>
        <v>0.38143211582267195</v>
      </c>
      <c r="H317" s="109" t="s">
        <v>235</v>
      </c>
      <c r="I317" s="111" t="s">
        <v>742</v>
      </c>
      <c r="J317" s="111" t="s">
        <v>701</v>
      </c>
      <c r="K317" s="109" t="s">
        <v>232</v>
      </c>
      <c r="L317" s="104" t="s">
        <v>801</v>
      </c>
      <c r="M317" s="292">
        <v>805</v>
      </c>
    </row>
    <row r="318" spans="1:13" s="3" customFormat="1" ht="18.95" customHeight="1">
      <c r="A318" s="108"/>
      <c r="B318" s="108"/>
      <c r="C318" s="27" t="s">
        <v>17</v>
      </c>
      <c r="D318" s="28">
        <v>0</v>
      </c>
      <c r="E318" s="30">
        <v>0</v>
      </c>
      <c r="F318" s="30">
        <v>0</v>
      </c>
      <c r="G318" s="31">
        <f t="shared" ref="G318:G371" si="21">IF(D318&lt;&gt;0,F318/D318,0)</f>
        <v>0</v>
      </c>
      <c r="H318" s="110"/>
      <c r="I318" s="112"/>
      <c r="J318" s="112"/>
      <c r="K318" s="110"/>
      <c r="L318" s="105"/>
      <c r="M318" s="292"/>
    </row>
    <row r="319" spans="1:13" s="3" customFormat="1" ht="18.95" customHeight="1">
      <c r="A319" s="108"/>
      <c r="B319" s="108"/>
      <c r="C319" s="27" t="s">
        <v>19</v>
      </c>
      <c r="D319" s="28">
        <v>0</v>
      </c>
      <c r="E319" s="30">
        <v>0</v>
      </c>
      <c r="F319" s="30">
        <v>0</v>
      </c>
      <c r="G319" s="31">
        <f t="shared" si="21"/>
        <v>0</v>
      </c>
      <c r="H319" s="110"/>
      <c r="I319" s="112"/>
      <c r="J319" s="112"/>
      <c r="K319" s="110"/>
      <c r="L319" s="105"/>
      <c r="M319" s="292"/>
    </row>
    <row r="320" spans="1:13" s="3" customFormat="1" ht="18.95" customHeight="1">
      <c r="A320" s="108"/>
      <c r="B320" s="108"/>
      <c r="C320" s="27" t="s">
        <v>21</v>
      </c>
      <c r="D320" s="28">
        <v>0</v>
      </c>
      <c r="E320" s="30">
        <v>0</v>
      </c>
      <c r="F320" s="30">
        <v>0</v>
      </c>
      <c r="G320" s="31">
        <f t="shared" si="21"/>
        <v>0</v>
      </c>
      <c r="H320" s="110"/>
      <c r="I320" s="112"/>
      <c r="J320" s="112"/>
      <c r="K320" s="110"/>
      <c r="L320" s="105"/>
      <c r="M320" s="292"/>
    </row>
    <row r="321" spans="1:13" s="3" customFormat="1" ht="18.95" customHeight="1">
      <c r="A321" s="108"/>
      <c r="B321" s="108"/>
      <c r="C321" s="27" t="s">
        <v>31</v>
      </c>
      <c r="D321" s="28">
        <v>88590.6</v>
      </c>
      <c r="E321" s="30">
        <v>33791.300000000003</v>
      </c>
      <c r="F321" s="30">
        <v>33791.300000000003</v>
      </c>
      <c r="G321" s="31">
        <f t="shared" si="21"/>
        <v>0.38143211582267195</v>
      </c>
      <c r="H321" s="110"/>
      <c r="I321" s="113"/>
      <c r="J321" s="113"/>
      <c r="K321" s="110"/>
      <c r="L321" s="106"/>
      <c r="M321" s="292"/>
    </row>
    <row r="322" spans="1:13" s="3" customFormat="1" ht="18.95" customHeight="1">
      <c r="A322" s="123" t="s">
        <v>236</v>
      </c>
      <c r="B322" s="123" t="s">
        <v>237</v>
      </c>
      <c r="C322" s="40" t="s">
        <v>14</v>
      </c>
      <c r="D322" s="41">
        <f>SUM(D323:D326)</f>
        <v>1467616.3</v>
      </c>
      <c r="E322" s="42">
        <f>SUM(E323:E326)</f>
        <v>710780.27341000002</v>
      </c>
      <c r="F322" s="42">
        <f>SUM(F323:F326)</f>
        <v>699220.58010999998</v>
      </c>
      <c r="G322" s="43">
        <f>IF(D322&lt;&gt;0,F322/D322,0)</f>
        <v>0.47643282519416003</v>
      </c>
      <c r="H322" s="121" t="s">
        <v>238</v>
      </c>
      <c r="I322" s="65" t="s">
        <v>15</v>
      </c>
      <c r="J322" s="65">
        <v>3</v>
      </c>
      <c r="K322" s="121" t="s">
        <v>239</v>
      </c>
      <c r="L322" s="125"/>
      <c r="M322" s="292">
        <v>805</v>
      </c>
    </row>
    <row r="323" spans="1:13" s="3" customFormat="1" ht="18.95" customHeight="1">
      <c r="A323" s="124"/>
      <c r="B323" s="124"/>
      <c r="C323" s="40" t="s">
        <v>17</v>
      </c>
      <c r="D323" s="41">
        <f>D328+D333+D338+D343+D348</f>
        <v>305364.5</v>
      </c>
      <c r="E323" s="42">
        <f>E328+E333+E338+E343+E348</f>
        <v>127388.22341000001</v>
      </c>
      <c r="F323" s="42">
        <f>F328+F333+F338+F343+F348</f>
        <v>115828.53010999999</v>
      </c>
      <c r="G323" s="45">
        <f>IF(D323&lt;&gt;0,F323/D323,0)</f>
        <v>0.37931236312668953</v>
      </c>
      <c r="H323" s="122"/>
      <c r="I323" s="65" t="s">
        <v>18</v>
      </c>
      <c r="J323" s="65">
        <f>COUNTIF($J$327:$J$341,"да")</f>
        <v>0</v>
      </c>
      <c r="K323" s="122"/>
      <c r="L323" s="126"/>
      <c r="M323" s="292"/>
    </row>
    <row r="324" spans="1:13" s="3" customFormat="1" ht="18.95" customHeight="1">
      <c r="A324" s="124"/>
      <c r="B324" s="124"/>
      <c r="C324" s="40" t="s">
        <v>19</v>
      </c>
      <c r="D324" s="41">
        <f>D329+D334+D339+D344+D349</f>
        <v>0</v>
      </c>
      <c r="E324" s="42">
        <f t="shared" ref="E324:F326" si="22">E329+E334+E339+E344+E349</f>
        <v>0</v>
      </c>
      <c r="F324" s="42">
        <f t="shared" si="22"/>
        <v>0</v>
      </c>
      <c r="G324" s="45">
        <f>IF(D324&lt;&gt;0,F324/D324,0)</f>
        <v>0</v>
      </c>
      <c r="H324" s="122"/>
      <c r="I324" s="65" t="s">
        <v>20</v>
      </c>
      <c r="J324" s="65">
        <f>COUNTIF($J$327:$J$341,"частично")</f>
        <v>3</v>
      </c>
      <c r="K324" s="122"/>
      <c r="L324" s="126"/>
      <c r="M324" s="292"/>
    </row>
    <row r="325" spans="1:13" s="3" customFormat="1" ht="18.95" customHeight="1">
      <c r="A325" s="124"/>
      <c r="B325" s="124"/>
      <c r="C325" s="40" t="s">
        <v>21</v>
      </c>
      <c r="D325" s="41">
        <v>0</v>
      </c>
      <c r="E325" s="42">
        <f t="shared" si="22"/>
        <v>0</v>
      </c>
      <c r="F325" s="42">
        <f t="shared" si="22"/>
        <v>0</v>
      </c>
      <c r="G325" s="45">
        <f>IF(D325&lt;&gt;0,F325/D325,0)</f>
        <v>0</v>
      </c>
      <c r="H325" s="122"/>
      <c r="I325" s="65" t="s">
        <v>22</v>
      </c>
      <c r="J325" s="65">
        <f>COUNTIF($J$327:$J$341,"нет")</f>
        <v>0</v>
      </c>
      <c r="K325" s="122"/>
      <c r="L325" s="126"/>
      <c r="M325" s="292"/>
    </row>
    <row r="326" spans="1:13" s="3" customFormat="1" ht="18.95" customHeight="1">
      <c r="A326" s="124"/>
      <c r="B326" s="124"/>
      <c r="C326" s="40" t="s">
        <v>31</v>
      </c>
      <c r="D326" s="41">
        <f>D331+D336+D341+D346+D351</f>
        <v>1162251.8</v>
      </c>
      <c r="E326" s="42">
        <f t="shared" si="22"/>
        <v>583392.05000000005</v>
      </c>
      <c r="F326" s="42">
        <f t="shared" si="22"/>
        <v>583392.05000000005</v>
      </c>
      <c r="G326" s="45">
        <f>IF(D326&lt;&gt;0,F326/D326,0)</f>
        <v>0.50194979263529649</v>
      </c>
      <c r="H326" s="122"/>
      <c r="I326" s="65" t="s">
        <v>24</v>
      </c>
      <c r="J326" s="66">
        <f>IF(J322=0,0,(J323+J324*0.5)/J322)</f>
        <v>0.5</v>
      </c>
      <c r="K326" s="122"/>
      <c r="L326" s="127"/>
      <c r="M326" s="292"/>
    </row>
    <row r="327" spans="1:13" s="3" customFormat="1" ht="18.95" customHeight="1">
      <c r="A327" s="107" t="s">
        <v>240</v>
      </c>
      <c r="B327" s="107" t="s">
        <v>241</v>
      </c>
      <c r="C327" s="27" t="s">
        <v>14</v>
      </c>
      <c r="D327" s="28">
        <f>SUM(D328:D331)</f>
        <v>1162251.8</v>
      </c>
      <c r="E327" s="30">
        <f>SUM(E328:E331)</f>
        <v>583392.05000000005</v>
      </c>
      <c r="F327" s="30">
        <f>SUM(F328:F331)</f>
        <v>583392.05000000005</v>
      </c>
      <c r="G327" s="29">
        <f t="shared" si="21"/>
        <v>0.50194979263529649</v>
      </c>
      <c r="H327" s="107" t="s">
        <v>242</v>
      </c>
      <c r="I327" s="111" t="s">
        <v>740</v>
      </c>
      <c r="J327" s="111" t="s">
        <v>701</v>
      </c>
      <c r="K327" s="109" t="s">
        <v>243</v>
      </c>
      <c r="L327" s="104" t="s">
        <v>717</v>
      </c>
      <c r="M327" s="292">
        <v>805</v>
      </c>
    </row>
    <row r="328" spans="1:13" s="3" customFormat="1" ht="18.95" customHeight="1">
      <c r="A328" s="108"/>
      <c r="B328" s="108"/>
      <c r="C328" s="27" t="s">
        <v>17</v>
      </c>
      <c r="D328" s="28">
        <v>0</v>
      </c>
      <c r="E328" s="30">
        <v>0</v>
      </c>
      <c r="F328" s="30">
        <v>0</v>
      </c>
      <c r="G328" s="31">
        <f t="shared" si="21"/>
        <v>0</v>
      </c>
      <c r="H328" s="108"/>
      <c r="I328" s="112"/>
      <c r="J328" s="112"/>
      <c r="K328" s="110"/>
      <c r="L328" s="105"/>
      <c r="M328" s="292"/>
    </row>
    <row r="329" spans="1:13" s="3" customFormat="1" ht="18.95" customHeight="1">
      <c r="A329" s="108"/>
      <c r="B329" s="108"/>
      <c r="C329" s="27" t="s">
        <v>19</v>
      </c>
      <c r="D329" s="28">
        <v>0</v>
      </c>
      <c r="E329" s="30">
        <v>0</v>
      </c>
      <c r="F329" s="30">
        <v>0</v>
      </c>
      <c r="G329" s="31">
        <f t="shared" si="21"/>
        <v>0</v>
      </c>
      <c r="H329" s="108"/>
      <c r="I329" s="112"/>
      <c r="J329" s="112"/>
      <c r="K329" s="110"/>
      <c r="L329" s="105"/>
      <c r="M329" s="292"/>
    </row>
    <row r="330" spans="1:13" s="3" customFormat="1" ht="18.95" customHeight="1">
      <c r="A330" s="108"/>
      <c r="B330" s="108"/>
      <c r="C330" s="27" t="s">
        <v>21</v>
      </c>
      <c r="D330" s="28">
        <v>0</v>
      </c>
      <c r="E330" s="30">
        <v>0</v>
      </c>
      <c r="F330" s="30">
        <v>0</v>
      </c>
      <c r="G330" s="31">
        <f t="shared" si="21"/>
        <v>0</v>
      </c>
      <c r="H330" s="108"/>
      <c r="I330" s="112"/>
      <c r="J330" s="112"/>
      <c r="K330" s="110"/>
      <c r="L330" s="105"/>
      <c r="M330" s="292"/>
    </row>
    <row r="331" spans="1:13" s="3" customFormat="1" ht="18.95" customHeight="1">
      <c r="A331" s="108"/>
      <c r="B331" s="108"/>
      <c r="C331" s="27" t="s">
        <v>31</v>
      </c>
      <c r="D331" s="28">
        <v>1162251.8</v>
      </c>
      <c r="E331" s="30">
        <v>583392.05000000005</v>
      </c>
      <c r="F331" s="30">
        <v>583392.05000000005</v>
      </c>
      <c r="G331" s="31">
        <f t="shared" si="21"/>
        <v>0.50194979263529649</v>
      </c>
      <c r="H331" s="108"/>
      <c r="I331" s="113"/>
      <c r="J331" s="113"/>
      <c r="K331" s="242"/>
      <c r="L331" s="106"/>
      <c r="M331" s="292"/>
    </row>
    <row r="332" spans="1:13" s="3" customFormat="1" ht="18.95" customHeight="1">
      <c r="A332" s="107" t="s">
        <v>244</v>
      </c>
      <c r="B332" s="107" t="s">
        <v>37</v>
      </c>
      <c r="C332" s="27" t="s">
        <v>14</v>
      </c>
      <c r="D332" s="28">
        <f>SUM(D333:D336)</f>
        <v>272911.2</v>
      </c>
      <c r="E332" s="30">
        <f>SUM(E333:E336)</f>
        <v>114397.14683</v>
      </c>
      <c r="F332" s="30">
        <f>SUM(F333:F336)</f>
        <v>103330.19454999999</v>
      </c>
      <c r="G332" s="29">
        <f t="shared" si="21"/>
        <v>0.37862203731470156</v>
      </c>
      <c r="H332" s="109" t="s">
        <v>245</v>
      </c>
      <c r="I332" s="111" t="s">
        <v>246</v>
      </c>
      <c r="J332" s="111" t="s">
        <v>701</v>
      </c>
      <c r="K332" s="109" t="s">
        <v>247</v>
      </c>
      <c r="L332" s="104" t="s">
        <v>180</v>
      </c>
      <c r="M332" s="292">
        <v>805</v>
      </c>
    </row>
    <row r="333" spans="1:13" s="3" customFormat="1" ht="18.95" customHeight="1">
      <c r="A333" s="108"/>
      <c r="B333" s="108"/>
      <c r="C333" s="27" t="s">
        <v>17</v>
      </c>
      <c r="D333" s="28">
        <f>272911.2</f>
        <v>272911.2</v>
      </c>
      <c r="E333" s="30">
        <v>114397.14683</v>
      </c>
      <c r="F333" s="30">
        <v>103330.19454999999</v>
      </c>
      <c r="G333" s="31">
        <f t="shared" si="21"/>
        <v>0.37862203731470156</v>
      </c>
      <c r="H333" s="110"/>
      <c r="I333" s="112"/>
      <c r="J333" s="112"/>
      <c r="K333" s="110"/>
      <c r="L333" s="105"/>
      <c r="M333" s="292"/>
    </row>
    <row r="334" spans="1:13" s="3" customFormat="1" ht="18.95" customHeight="1">
      <c r="A334" s="108"/>
      <c r="B334" s="108"/>
      <c r="C334" s="27" t="s">
        <v>19</v>
      </c>
      <c r="D334" s="28">
        <v>0</v>
      </c>
      <c r="E334" s="30">
        <v>0</v>
      </c>
      <c r="F334" s="30">
        <v>0</v>
      </c>
      <c r="G334" s="31">
        <f t="shared" si="21"/>
        <v>0</v>
      </c>
      <c r="H334" s="110"/>
      <c r="I334" s="112"/>
      <c r="J334" s="112"/>
      <c r="K334" s="110"/>
      <c r="L334" s="105"/>
      <c r="M334" s="292"/>
    </row>
    <row r="335" spans="1:13" s="3" customFormat="1" ht="18.95" customHeight="1">
      <c r="A335" s="108"/>
      <c r="B335" s="108"/>
      <c r="C335" s="27" t="s">
        <v>21</v>
      </c>
      <c r="D335" s="28">
        <v>0</v>
      </c>
      <c r="E335" s="30">
        <v>0</v>
      </c>
      <c r="F335" s="30">
        <v>0</v>
      </c>
      <c r="G335" s="31">
        <f t="shared" si="21"/>
        <v>0</v>
      </c>
      <c r="H335" s="110"/>
      <c r="I335" s="112"/>
      <c r="J335" s="112"/>
      <c r="K335" s="110"/>
      <c r="L335" s="105"/>
      <c r="M335" s="292"/>
    </row>
    <row r="336" spans="1:13" s="3" customFormat="1" ht="18.95" customHeight="1">
      <c r="A336" s="108"/>
      <c r="B336" s="108"/>
      <c r="C336" s="27" t="s">
        <v>31</v>
      </c>
      <c r="D336" s="28">
        <v>0</v>
      </c>
      <c r="E336" s="30">
        <v>0</v>
      </c>
      <c r="F336" s="30">
        <v>0</v>
      </c>
      <c r="G336" s="31">
        <f t="shared" si="21"/>
        <v>0</v>
      </c>
      <c r="H336" s="110"/>
      <c r="I336" s="113"/>
      <c r="J336" s="113"/>
      <c r="K336" s="110"/>
      <c r="L336" s="106"/>
      <c r="M336" s="292"/>
    </row>
    <row r="337" spans="1:13" s="3" customFormat="1" ht="18.95" customHeight="1">
      <c r="A337" s="107" t="s">
        <v>248</v>
      </c>
      <c r="B337" s="107" t="s">
        <v>249</v>
      </c>
      <c r="C337" s="27" t="s">
        <v>14</v>
      </c>
      <c r="D337" s="28">
        <f>SUM(D338:D341)</f>
        <v>32453.3</v>
      </c>
      <c r="E337" s="30">
        <f>SUM(E338:E341)</f>
        <v>12991.076580000001</v>
      </c>
      <c r="F337" s="30">
        <f>SUM(F338:F341)</f>
        <v>12498.33556</v>
      </c>
      <c r="G337" s="29">
        <f t="shared" si="21"/>
        <v>0.3851175553795762</v>
      </c>
      <c r="H337" s="109" t="s">
        <v>250</v>
      </c>
      <c r="I337" s="111" t="s">
        <v>693</v>
      </c>
      <c r="J337" s="111" t="s">
        <v>701</v>
      </c>
      <c r="K337" s="109" t="s">
        <v>247</v>
      </c>
      <c r="L337" s="104" t="s">
        <v>251</v>
      </c>
      <c r="M337" s="292">
        <v>805</v>
      </c>
    </row>
    <row r="338" spans="1:13" s="3" customFormat="1" ht="18.95" customHeight="1">
      <c r="A338" s="108"/>
      <c r="B338" s="108"/>
      <c r="C338" s="27" t="s">
        <v>17</v>
      </c>
      <c r="D338" s="28">
        <f>28611.1+3842.2</f>
        <v>32453.3</v>
      </c>
      <c r="E338" s="30">
        <v>12991.076580000001</v>
      </c>
      <c r="F338" s="30">
        <v>12498.33556</v>
      </c>
      <c r="G338" s="31">
        <f t="shared" si="21"/>
        <v>0.3851175553795762</v>
      </c>
      <c r="H338" s="110"/>
      <c r="I338" s="112"/>
      <c r="J338" s="112"/>
      <c r="K338" s="110"/>
      <c r="L338" s="105"/>
      <c r="M338" s="292"/>
    </row>
    <row r="339" spans="1:13" s="3" customFormat="1" ht="18.95" customHeight="1">
      <c r="A339" s="108"/>
      <c r="B339" s="108"/>
      <c r="C339" s="27" t="s">
        <v>19</v>
      </c>
      <c r="D339" s="28">
        <v>0</v>
      </c>
      <c r="E339" s="30">
        <v>0</v>
      </c>
      <c r="F339" s="30">
        <v>0</v>
      </c>
      <c r="G339" s="31">
        <f t="shared" si="21"/>
        <v>0</v>
      </c>
      <c r="H339" s="110"/>
      <c r="I339" s="112"/>
      <c r="J339" s="112"/>
      <c r="K339" s="110"/>
      <c r="L339" s="105"/>
      <c r="M339" s="292"/>
    </row>
    <row r="340" spans="1:13" s="3" customFormat="1" ht="18.95" customHeight="1">
      <c r="A340" s="108"/>
      <c r="B340" s="108"/>
      <c r="C340" s="27" t="s">
        <v>21</v>
      </c>
      <c r="D340" s="28">
        <v>0</v>
      </c>
      <c r="E340" s="30">
        <v>0</v>
      </c>
      <c r="F340" s="30">
        <v>0</v>
      </c>
      <c r="G340" s="31">
        <f t="shared" si="21"/>
        <v>0</v>
      </c>
      <c r="H340" s="110"/>
      <c r="I340" s="112"/>
      <c r="J340" s="112"/>
      <c r="K340" s="110"/>
      <c r="L340" s="105"/>
      <c r="M340" s="292"/>
    </row>
    <row r="341" spans="1:13" s="3" customFormat="1" ht="81" customHeight="1">
      <c r="A341" s="108"/>
      <c r="B341" s="108"/>
      <c r="C341" s="27" t="s">
        <v>31</v>
      </c>
      <c r="D341" s="28">
        <v>0</v>
      </c>
      <c r="E341" s="30">
        <v>0</v>
      </c>
      <c r="F341" s="30">
        <v>0</v>
      </c>
      <c r="G341" s="31">
        <f t="shared" si="21"/>
        <v>0</v>
      </c>
      <c r="H341" s="110"/>
      <c r="I341" s="113"/>
      <c r="J341" s="113"/>
      <c r="K341" s="110"/>
      <c r="L341" s="106"/>
      <c r="M341" s="292"/>
    </row>
    <row r="342" spans="1:13" s="3" customFormat="1" ht="18.95" hidden="1" customHeight="1">
      <c r="A342" s="107" t="s">
        <v>252</v>
      </c>
      <c r="B342" s="107" t="s">
        <v>253</v>
      </c>
      <c r="C342" s="27" t="s">
        <v>14</v>
      </c>
      <c r="D342" s="28">
        <f>SUM(D343:D346)</f>
        <v>0</v>
      </c>
      <c r="E342" s="30">
        <f>SUM(E343:E346)</f>
        <v>0</v>
      </c>
      <c r="F342" s="30">
        <f>SUM(F343:F346)</f>
        <v>0</v>
      </c>
      <c r="G342" s="29">
        <f t="shared" si="21"/>
        <v>0</v>
      </c>
      <c r="H342" s="109" t="s">
        <v>254</v>
      </c>
      <c r="I342" s="111"/>
      <c r="J342" s="111"/>
      <c r="K342" s="109" t="s">
        <v>255</v>
      </c>
      <c r="L342" s="104"/>
      <c r="M342" s="1"/>
    </row>
    <row r="343" spans="1:13" s="3" customFormat="1" ht="18.95" hidden="1" customHeight="1">
      <c r="A343" s="108"/>
      <c r="B343" s="108"/>
      <c r="C343" s="27" t="s">
        <v>17</v>
      </c>
      <c r="D343" s="28">
        <v>0</v>
      </c>
      <c r="E343" s="30">
        <v>0</v>
      </c>
      <c r="F343" s="30">
        <v>0</v>
      </c>
      <c r="G343" s="31">
        <f t="shared" si="21"/>
        <v>0</v>
      </c>
      <c r="H343" s="110"/>
      <c r="I343" s="112"/>
      <c r="J343" s="112"/>
      <c r="K343" s="110"/>
      <c r="L343" s="105"/>
      <c r="M343" s="1"/>
    </row>
    <row r="344" spans="1:13" s="3" customFormat="1" ht="18.95" hidden="1" customHeight="1">
      <c r="A344" s="108"/>
      <c r="B344" s="108"/>
      <c r="C344" s="27" t="s">
        <v>19</v>
      </c>
      <c r="D344" s="28">
        <v>0</v>
      </c>
      <c r="E344" s="30">
        <v>0</v>
      </c>
      <c r="F344" s="30">
        <v>0</v>
      </c>
      <c r="G344" s="31">
        <f t="shared" si="21"/>
        <v>0</v>
      </c>
      <c r="H344" s="110"/>
      <c r="I344" s="112"/>
      <c r="J344" s="112"/>
      <c r="K344" s="110"/>
      <c r="L344" s="105"/>
      <c r="M344" s="1"/>
    </row>
    <row r="345" spans="1:13" s="3" customFormat="1" ht="18.95" hidden="1" customHeight="1">
      <c r="A345" s="108"/>
      <c r="B345" s="108"/>
      <c r="C345" s="27" t="s">
        <v>21</v>
      </c>
      <c r="D345" s="28">
        <v>0</v>
      </c>
      <c r="E345" s="30">
        <v>0</v>
      </c>
      <c r="F345" s="30">
        <v>0</v>
      </c>
      <c r="G345" s="31">
        <f t="shared" si="21"/>
        <v>0</v>
      </c>
      <c r="H345" s="110"/>
      <c r="I345" s="112"/>
      <c r="J345" s="112"/>
      <c r="K345" s="110"/>
      <c r="L345" s="105"/>
      <c r="M345" s="1"/>
    </row>
    <row r="346" spans="1:13" s="3" customFormat="1" ht="18.95" hidden="1" customHeight="1">
      <c r="A346" s="108"/>
      <c r="B346" s="108"/>
      <c r="C346" s="27" t="s">
        <v>31</v>
      </c>
      <c r="D346" s="28">
        <v>0</v>
      </c>
      <c r="E346" s="30">
        <v>0</v>
      </c>
      <c r="F346" s="30">
        <v>0</v>
      </c>
      <c r="G346" s="31">
        <f t="shared" si="21"/>
        <v>0</v>
      </c>
      <c r="H346" s="110"/>
      <c r="I346" s="113"/>
      <c r="J346" s="113"/>
      <c r="K346" s="110"/>
      <c r="L346" s="106"/>
      <c r="M346" s="1"/>
    </row>
    <row r="347" spans="1:13" s="3" customFormat="1" ht="18.95" hidden="1" customHeight="1">
      <c r="A347" s="107" t="s">
        <v>256</v>
      </c>
      <c r="B347" s="107" t="s">
        <v>257</v>
      </c>
      <c r="C347" s="27" t="s">
        <v>14</v>
      </c>
      <c r="D347" s="28">
        <f>SUM(D348:D351)</f>
        <v>0</v>
      </c>
      <c r="E347" s="30">
        <f>SUM(E348:E351)</f>
        <v>0</v>
      </c>
      <c r="F347" s="30">
        <f>SUM(F348:F351)</f>
        <v>0</v>
      </c>
      <c r="G347" s="29">
        <f t="shared" si="21"/>
        <v>0</v>
      </c>
      <c r="H347" s="109" t="s">
        <v>258</v>
      </c>
      <c r="I347" s="111"/>
      <c r="J347" s="111"/>
      <c r="K347" s="109" t="s">
        <v>255</v>
      </c>
      <c r="L347" s="104"/>
      <c r="M347" s="1"/>
    </row>
    <row r="348" spans="1:13" s="3" customFormat="1" ht="18.95" hidden="1" customHeight="1">
      <c r="A348" s="108"/>
      <c r="B348" s="108"/>
      <c r="C348" s="27" t="s">
        <v>17</v>
      </c>
      <c r="D348" s="28">
        <v>0</v>
      </c>
      <c r="E348" s="30">
        <v>0</v>
      </c>
      <c r="F348" s="30">
        <v>0</v>
      </c>
      <c r="G348" s="31">
        <f t="shared" si="21"/>
        <v>0</v>
      </c>
      <c r="H348" s="110"/>
      <c r="I348" s="112"/>
      <c r="J348" s="112"/>
      <c r="K348" s="110"/>
      <c r="L348" s="105"/>
      <c r="M348" s="1"/>
    </row>
    <row r="349" spans="1:13" s="3" customFormat="1" ht="18.95" hidden="1" customHeight="1">
      <c r="A349" s="108"/>
      <c r="B349" s="108"/>
      <c r="C349" s="27" t="s">
        <v>19</v>
      </c>
      <c r="D349" s="28">
        <v>0</v>
      </c>
      <c r="E349" s="30">
        <v>0</v>
      </c>
      <c r="F349" s="30">
        <v>0</v>
      </c>
      <c r="G349" s="31">
        <f t="shared" si="21"/>
        <v>0</v>
      </c>
      <c r="H349" s="110"/>
      <c r="I349" s="112"/>
      <c r="J349" s="112"/>
      <c r="K349" s="110"/>
      <c r="L349" s="105"/>
      <c r="M349" s="1"/>
    </row>
    <row r="350" spans="1:13" s="3" customFormat="1" ht="18.95" hidden="1" customHeight="1">
      <c r="A350" s="108"/>
      <c r="B350" s="108"/>
      <c r="C350" s="27" t="s">
        <v>21</v>
      </c>
      <c r="D350" s="28">
        <v>0</v>
      </c>
      <c r="E350" s="30">
        <v>0</v>
      </c>
      <c r="F350" s="30">
        <v>0</v>
      </c>
      <c r="G350" s="31">
        <f t="shared" si="21"/>
        <v>0</v>
      </c>
      <c r="H350" s="110"/>
      <c r="I350" s="112"/>
      <c r="J350" s="112"/>
      <c r="K350" s="110"/>
      <c r="L350" s="105"/>
      <c r="M350" s="1"/>
    </row>
    <row r="351" spans="1:13" s="3" customFormat="1" ht="18.95" hidden="1" customHeight="1">
      <c r="A351" s="108"/>
      <c r="B351" s="108"/>
      <c r="C351" s="27" t="s">
        <v>31</v>
      </c>
      <c r="D351" s="28">
        <v>0</v>
      </c>
      <c r="E351" s="30">
        <v>0</v>
      </c>
      <c r="F351" s="30">
        <v>0</v>
      </c>
      <c r="G351" s="31">
        <f t="shared" si="21"/>
        <v>0</v>
      </c>
      <c r="H351" s="110"/>
      <c r="I351" s="113"/>
      <c r="J351" s="113"/>
      <c r="K351" s="110"/>
      <c r="L351" s="106"/>
      <c r="M351" s="1"/>
    </row>
    <row r="352" spans="1:13" s="3" customFormat="1" ht="18.95" customHeight="1">
      <c r="A352" s="123" t="s">
        <v>259</v>
      </c>
      <c r="B352" s="123" t="s">
        <v>260</v>
      </c>
      <c r="C352" s="40" t="s">
        <v>14</v>
      </c>
      <c r="D352" s="41">
        <f>SUM(D353:D356)</f>
        <v>20118.8</v>
      </c>
      <c r="E352" s="42">
        <f>SUM(E353:E356)</f>
        <v>9458.6347499999993</v>
      </c>
      <c r="F352" s="42">
        <f>SUM(F353:F356)</f>
        <v>9458.6347499999993</v>
      </c>
      <c r="G352" s="43">
        <f t="shared" si="21"/>
        <v>0.47013911117959317</v>
      </c>
      <c r="H352" s="121" t="s">
        <v>261</v>
      </c>
      <c r="I352" s="65" t="s">
        <v>15</v>
      </c>
      <c r="J352" s="65">
        <v>2</v>
      </c>
      <c r="K352" s="121" t="s">
        <v>262</v>
      </c>
      <c r="L352" s="125"/>
      <c r="M352" s="292">
        <v>805</v>
      </c>
    </row>
    <row r="353" spans="1:13" s="3" customFormat="1" ht="18.95" customHeight="1">
      <c r="A353" s="124"/>
      <c r="B353" s="124"/>
      <c r="C353" s="40" t="s">
        <v>17</v>
      </c>
      <c r="D353" s="41">
        <f>SUM(D358,D363)</f>
        <v>20118.8</v>
      </c>
      <c r="E353" s="42">
        <f t="shared" ref="E353:F356" si="23">E358+E363</f>
        <v>9458.6347499999993</v>
      </c>
      <c r="F353" s="42">
        <f t="shared" si="23"/>
        <v>9458.6347499999993</v>
      </c>
      <c r="G353" s="45">
        <f t="shared" si="21"/>
        <v>0.47013911117959317</v>
      </c>
      <c r="H353" s="122"/>
      <c r="I353" s="65" t="s">
        <v>18</v>
      </c>
      <c r="J353" s="65">
        <f>COUNTIF($J$357:$J$366,"да")</f>
        <v>0</v>
      </c>
      <c r="K353" s="122"/>
      <c r="L353" s="126"/>
      <c r="M353" s="292"/>
    </row>
    <row r="354" spans="1:13" s="3" customFormat="1" ht="18.95" customHeight="1">
      <c r="A354" s="124"/>
      <c r="B354" s="124"/>
      <c r="C354" s="40" t="s">
        <v>19</v>
      </c>
      <c r="D354" s="41">
        <f>SUM(D359,D364)</f>
        <v>0</v>
      </c>
      <c r="E354" s="42">
        <f t="shared" si="23"/>
        <v>0</v>
      </c>
      <c r="F354" s="42">
        <f t="shared" si="23"/>
        <v>0</v>
      </c>
      <c r="G354" s="45">
        <f t="shared" si="21"/>
        <v>0</v>
      </c>
      <c r="H354" s="122"/>
      <c r="I354" s="65" t="s">
        <v>20</v>
      </c>
      <c r="J354" s="65">
        <f>COUNTIF($J$357:$J$366,"частично")</f>
        <v>1</v>
      </c>
      <c r="K354" s="122"/>
      <c r="L354" s="126"/>
      <c r="M354" s="292"/>
    </row>
    <row r="355" spans="1:13" s="3" customFormat="1" ht="18.95" customHeight="1">
      <c r="A355" s="124"/>
      <c r="B355" s="124"/>
      <c r="C355" s="40" t="s">
        <v>21</v>
      </c>
      <c r="D355" s="41">
        <v>0</v>
      </c>
      <c r="E355" s="42">
        <f t="shared" si="23"/>
        <v>0</v>
      </c>
      <c r="F355" s="42">
        <f t="shared" si="23"/>
        <v>0</v>
      </c>
      <c r="G355" s="45">
        <f t="shared" si="21"/>
        <v>0</v>
      </c>
      <c r="H355" s="122"/>
      <c r="I355" s="65" t="s">
        <v>22</v>
      </c>
      <c r="J355" s="65">
        <f>COUNTIF($J$357:$J$366,"нет")</f>
        <v>1</v>
      </c>
      <c r="K355" s="122"/>
      <c r="L355" s="126"/>
      <c r="M355" s="292"/>
    </row>
    <row r="356" spans="1:13" s="3" customFormat="1" ht="18.95" customHeight="1">
      <c r="A356" s="124"/>
      <c r="B356" s="124"/>
      <c r="C356" s="40" t="s">
        <v>31</v>
      </c>
      <c r="D356" s="41">
        <f>SUM(D361,D366)</f>
        <v>0</v>
      </c>
      <c r="E356" s="42">
        <f t="shared" si="23"/>
        <v>0</v>
      </c>
      <c r="F356" s="42">
        <f t="shared" si="23"/>
        <v>0</v>
      </c>
      <c r="G356" s="45">
        <f t="shared" si="21"/>
        <v>0</v>
      </c>
      <c r="H356" s="122"/>
      <c r="I356" s="65" t="s">
        <v>24</v>
      </c>
      <c r="J356" s="66">
        <f>IF(J352=0,0,(J353+J354*0.5)/J352)</f>
        <v>0.25</v>
      </c>
      <c r="K356" s="122"/>
      <c r="L356" s="127"/>
      <c r="M356" s="292"/>
    </row>
    <row r="357" spans="1:13" s="3" customFormat="1" ht="18.95" customHeight="1">
      <c r="A357" s="107" t="s">
        <v>263</v>
      </c>
      <c r="B357" s="107" t="s">
        <v>264</v>
      </c>
      <c r="C357" s="27" t="s">
        <v>14</v>
      </c>
      <c r="D357" s="28">
        <f>SUM(D358:D361)</f>
        <v>179.5</v>
      </c>
      <c r="E357" s="30">
        <f>SUM(E358:E361)</f>
        <v>0</v>
      </c>
      <c r="F357" s="30">
        <f>SUM(F358:F361)</f>
        <v>0</v>
      </c>
      <c r="G357" s="29">
        <f t="shared" si="21"/>
        <v>0</v>
      </c>
      <c r="H357" s="109" t="s">
        <v>265</v>
      </c>
      <c r="I357" s="111" t="s">
        <v>717</v>
      </c>
      <c r="J357" s="111" t="s">
        <v>105</v>
      </c>
      <c r="K357" s="109" t="s">
        <v>266</v>
      </c>
      <c r="L357" s="128" t="s">
        <v>798</v>
      </c>
      <c r="M357" s="292">
        <v>805</v>
      </c>
    </row>
    <row r="358" spans="1:13" s="3" customFormat="1" ht="18.95" customHeight="1">
      <c r="A358" s="108"/>
      <c r="B358" s="108"/>
      <c r="C358" s="27" t="s">
        <v>17</v>
      </c>
      <c r="D358" s="28">
        <v>179.5</v>
      </c>
      <c r="E358" s="30">
        <v>0</v>
      </c>
      <c r="F358" s="30">
        <v>0</v>
      </c>
      <c r="G358" s="31">
        <f t="shared" si="21"/>
        <v>0</v>
      </c>
      <c r="H358" s="110"/>
      <c r="I358" s="112"/>
      <c r="J358" s="112"/>
      <c r="K358" s="110"/>
      <c r="L358" s="129"/>
      <c r="M358" s="292"/>
    </row>
    <row r="359" spans="1:13" s="3" customFormat="1" ht="18.95" customHeight="1">
      <c r="A359" s="108"/>
      <c r="B359" s="108"/>
      <c r="C359" s="27" t="s">
        <v>19</v>
      </c>
      <c r="D359" s="28">
        <v>0</v>
      </c>
      <c r="E359" s="30">
        <v>0</v>
      </c>
      <c r="F359" s="30">
        <v>0</v>
      </c>
      <c r="G359" s="31">
        <f t="shared" si="21"/>
        <v>0</v>
      </c>
      <c r="H359" s="110"/>
      <c r="I359" s="112"/>
      <c r="J359" s="112"/>
      <c r="K359" s="110"/>
      <c r="L359" s="129"/>
      <c r="M359" s="292"/>
    </row>
    <row r="360" spans="1:13" s="3" customFormat="1" ht="18.95" customHeight="1">
      <c r="A360" s="108"/>
      <c r="B360" s="108"/>
      <c r="C360" s="27" t="s">
        <v>21</v>
      </c>
      <c r="D360" s="28">
        <v>0</v>
      </c>
      <c r="E360" s="30">
        <v>0</v>
      </c>
      <c r="F360" s="30">
        <v>0</v>
      </c>
      <c r="G360" s="31">
        <f t="shared" si="21"/>
        <v>0</v>
      </c>
      <c r="H360" s="110"/>
      <c r="I360" s="112"/>
      <c r="J360" s="112"/>
      <c r="K360" s="110"/>
      <c r="L360" s="129"/>
      <c r="M360" s="292"/>
    </row>
    <row r="361" spans="1:13" s="3" customFormat="1" ht="18.95" customHeight="1">
      <c r="A361" s="108"/>
      <c r="B361" s="108"/>
      <c r="C361" s="27" t="s">
        <v>31</v>
      </c>
      <c r="D361" s="28">
        <v>0</v>
      </c>
      <c r="E361" s="30">
        <v>0</v>
      </c>
      <c r="F361" s="30">
        <v>0</v>
      </c>
      <c r="G361" s="31">
        <f t="shared" si="21"/>
        <v>0</v>
      </c>
      <c r="H361" s="110"/>
      <c r="I361" s="113"/>
      <c r="J361" s="113"/>
      <c r="K361" s="110"/>
      <c r="L361" s="130"/>
      <c r="M361" s="292"/>
    </row>
    <row r="362" spans="1:13" s="3" customFormat="1" ht="18.95" customHeight="1">
      <c r="A362" s="107" t="s">
        <v>267</v>
      </c>
      <c r="B362" s="107" t="s">
        <v>268</v>
      </c>
      <c r="C362" s="27" t="s">
        <v>14</v>
      </c>
      <c r="D362" s="28">
        <f>SUM(D363:D366)</f>
        <v>19939.3</v>
      </c>
      <c r="E362" s="30">
        <f>SUM(E363:E366)</f>
        <v>9458.6347499999993</v>
      </c>
      <c r="F362" s="30">
        <f>SUM(F363:F366)</f>
        <v>9458.6347499999993</v>
      </c>
      <c r="G362" s="29">
        <f t="shared" si="21"/>
        <v>0.47437145486551685</v>
      </c>
      <c r="H362" s="109" t="s">
        <v>269</v>
      </c>
      <c r="I362" s="111" t="s">
        <v>270</v>
      </c>
      <c r="J362" s="111" t="s">
        <v>701</v>
      </c>
      <c r="K362" s="109" t="s">
        <v>271</v>
      </c>
      <c r="L362" s="117" t="s">
        <v>717</v>
      </c>
      <c r="M362" s="292">
        <v>805</v>
      </c>
    </row>
    <row r="363" spans="1:13" s="3" customFormat="1" ht="18.95" customHeight="1">
      <c r="A363" s="108"/>
      <c r="B363" s="108"/>
      <c r="C363" s="27" t="s">
        <v>17</v>
      </c>
      <c r="D363" s="28">
        <f>16981.1+2958.2</f>
        <v>19939.3</v>
      </c>
      <c r="E363" s="30">
        <v>9458.6347499999993</v>
      </c>
      <c r="F363" s="30">
        <v>9458.6347499999993</v>
      </c>
      <c r="G363" s="31">
        <f t="shared" si="21"/>
        <v>0.47437145486551685</v>
      </c>
      <c r="H363" s="110"/>
      <c r="I363" s="112"/>
      <c r="J363" s="112"/>
      <c r="K363" s="110"/>
      <c r="L363" s="118"/>
      <c r="M363" s="292"/>
    </row>
    <row r="364" spans="1:13" s="3" customFormat="1" ht="18.95" customHeight="1">
      <c r="A364" s="108"/>
      <c r="B364" s="108"/>
      <c r="C364" s="27" t="s">
        <v>19</v>
      </c>
      <c r="D364" s="28">
        <v>0</v>
      </c>
      <c r="E364" s="30">
        <v>0</v>
      </c>
      <c r="F364" s="30">
        <v>0</v>
      </c>
      <c r="G364" s="31">
        <f t="shared" si="21"/>
        <v>0</v>
      </c>
      <c r="H364" s="110"/>
      <c r="I364" s="112"/>
      <c r="J364" s="112"/>
      <c r="K364" s="110"/>
      <c r="L364" s="118"/>
      <c r="M364" s="292"/>
    </row>
    <row r="365" spans="1:13" s="3" customFormat="1" ht="18.95" customHeight="1">
      <c r="A365" s="108"/>
      <c r="B365" s="108"/>
      <c r="C365" s="27" t="s">
        <v>21</v>
      </c>
      <c r="D365" s="28">
        <v>0</v>
      </c>
      <c r="E365" s="30">
        <v>0</v>
      </c>
      <c r="F365" s="30">
        <v>0</v>
      </c>
      <c r="G365" s="31">
        <f t="shared" si="21"/>
        <v>0</v>
      </c>
      <c r="H365" s="110"/>
      <c r="I365" s="112"/>
      <c r="J365" s="112"/>
      <c r="K365" s="110"/>
      <c r="L365" s="118"/>
      <c r="M365" s="292"/>
    </row>
    <row r="366" spans="1:13" s="3" customFormat="1" ht="18.95" customHeight="1">
      <c r="A366" s="108"/>
      <c r="B366" s="108"/>
      <c r="C366" s="27" t="s">
        <v>31</v>
      </c>
      <c r="D366" s="28">
        <v>0</v>
      </c>
      <c r="E366" s="30">
        <v>0</v>
      </c>
      <c r="F366" s="30">
        <v>0</v>
      </c>
      <c r="G366" s="31">
        <f t="shared" si="21"/>
        <v>0</v>
      </c>
      <c r="H366" s="110"/>
      <c r="I366" s="113"/>
      <c r="J366" s="113"/>
      <c r="K366" s="110"/>
      <c r="L366" s="119"/>
      <c r="M366" s="292"/>
    </row>
    <row r="367" spans="1:13" s="3" customFormat="1" ht="18.95" customHeight="1">
      <c r="A367" s="123" t="s">
        <v>272</v>
      </c>
      <c r="B367" s="123" t="s">
        <v>273</v>
      </c>
      <c r="C367" s="40" t="s">
        <v>14</v>
      </c>
      <c r="D367" s="41">
        <f>SUM(D368:D371)</f>
        <v>234920.5</v>
      </c>
      <c r="E367" s="42">
        <f>SUM(E368:E371)</f>
        <v>122853.74493</v>
      </c>
      <c r="F367" s="42">
        <f>SUM(F368:F371)</f>
        <v>117668.14679</v>
      </c>
      <c r="G367" s="43">
        <f t="shared" si="21"/>
        <v>0.50088496657379833</v>
      </c>
      <c r="H367" s="121" t="s">
        <v>261</v>
      </c>
      <c r="I367" s="65" t="s">
        <v>15</v>
      </c>
      <c r="J367" s="65">
        <v>2</v>
      </c>
      <c r="K367" s="121" t="s">
        <v>274</v>
      </c>
      <c r="L367" s="125"/>
      <c r="M367" s="292">
        <v>805</v>
      </c>
    </row>
    <row r="368" spans="1:13" s="3" customFormat="1" ht="18.95" customHeight="1">
      <c r="A368" s="124"/>
      <c r="B368" s="124"/>
      <c r="C368" s="40" t="s">
        <v>17</v>
      </c>
      <c r="D368" s="41">
        <f>D373+D378</f>
        <v>234920.5</v>
      </c>
      <c r="E368" s="42">
        <f>E373+E378</f>
        <v>122853.74493</v>
      </c>
      <c r="F368" s="42">
        <f>F373+F378</f>
        <v>117668.14679</v>
      </c>
      <c r="G368" s="45">
        <f t="shared" si="21"/>
        <v>0.50088496657379833</v>
      </c>
      <c r="H368" s="122"/>
      <c r="I368" s="65" t="s">
        <v>18</v>
      </c>
      <c r="J368" s="65">
        <f>COUNTIF($J$372:$J$381,"да")</f>
        <v>0</v>
      </c>
      <c r="K368" s="122"/>
      <c r="L368" s="126"/>
      <c r="M368" s="292"/>
    </row>
    <row r="369" spans="1:13" s="3" customFormat="1" ht="18.95" customHeight="1">
      <c r="A369" s="124"/>
      <c r="B369" s="124"/>
      <c r="C369" s="40" t="s">
        <v>19</v>
      </c>
      <c r="D369" s="41">
        <f>D374+D379</f>
        <v>0</v>
      </c>
      <c r="E369" s="42">
        <f t="shared" ref="E369:F371" si="24">E374+E379</f>
        <v>0</v>
      </c>
      <c r="F369" s="42">
        <f t="shared" si="24"/>
        <v>0</v>
      </c>
      <c r="G369" s="45">
        <f t="shared" si="21"/>
        <v>0</v>
      </c>
      <c r="H369" s="122"/>
      <c r="I369" s="65" t="s">
        <v>20</v>
      </c>
      <c r="J369" s="65">
        <f>COUNTIF($J$372:$J$381,"частично")</f>
        <v>2</v>
      </c>
      <c r="K369" s="122"/>
      <c r="L369" s="126"/>
      <c r="M369" s="292"/>
    </row>
    <row r="370" spans="1:13" s="3" customFormat="1" ht="18.95" customHeight="1">
      <c r="A370" s="124"/>
      <c r="B370" s="124"/>
      <c r="C370" s="40" t="s">
        <v>21</v>
      </c>
      <c r="D370" s="41">
        <v>0</v>
      </c>
      <c r="E370" s="42">
        <f t="shared" si="24"/>
        <v>0</v>
      </c>
      <c r="F370" s="42">
        <f t="shared" si="24"/>
        <v>0</v>
      </c>
      <c r="G370" s="45">
        <f t="shared" si="21"/>
        <v>0</v>
      </c>
      <c r="H370" s="122"/>
      <c r="I370" s="65" t="s">
        <v>22</v>
      </c>
      <c r="J370" s="65">
        <f>COUNTIF($J$372:$J$381,"нет")</f>
        <v>0</v>
      </c>
      <c r="K370" s="122"/>
      <c r="L370" s="126"/>
      <c r="M370" s="292"/>
    </row>
    <row r="371" spans="1:13" s="3" customFormat="1" ht="18.95" customHeight="1">
      <c r="A371" s="124"/>
      <c r="B371" s="124"/>
      <c r="C371" s="40" t="s">
        <v>31</v>
      </c>
      <c r="D371" s="41">
        <f>D376+D381</f>
        <v>0</v>
      </c>
      <c r="E371" s="42">
        <f t="shared" si="24"/>
        <v>0</v>
      </c>
      <c r="F371" s="42">
        <f t="shared" si="24"/>
        <v>0</v>
      </c>
      <c r="G371" s="45">
        <f t="shared" si="21"/>
        <v>0</v>
      </c>
      <c r="H371" s="122"/>
      <c r="I371" s="65" t="s">
        <v>24</v>
      </c>
      <c r="J371" s="66">
        <f>IF(J367=0,0,(J368+J369*0.5)/J367)</f>
        <v>0.5</v>
      </c>
      <c r="K371" s="122"/>
      <c r="L371" s="127"/>
      <c r="M371" s="292"/>
    </row>
    <row r="372" spans="1:13" s="3" customFormat="1" ht="18.95" customHeight="1">
      <c r="A372" s="107" t="s">
        <v>275</v>
      </c>
      <c r="B372" s="107" t="s">
        <v>276</v>
      </c>
      <c r="C372" s="27" t="s">
        <v>14</v>
      </c>
      <c r="D372" s="28">
        <f>SUM(D373:D376)</f>
        <v>52211.4</v>
      </c>
      <c r="E372" s="30">
        <f>SUM(E373:E376)</f>
        <v>41435.706789999997</v>
      </c>
      <c r="F372" s="30">
        <f>SUM(F373:F376)</f>
        <v>41435.706789999997</v>
      </c>
      <c r="G372" s="29">
        <f t="shared" ref="G372:G421" si="25">IF(D372&lt;&gt;0,F372/D372,0)</f>
        <v>0.79361416836169874</v>
      </c>
      <c r="H372" s="109" t="s">
        <v>277</v>
      </c>
      <c r="I372" s="128" t="s">
        <v>827</v>
      </c>
      <c r="J372" s="111" t="s">
        <v>701</v>
      </c>
      <c r="K372" s="109" t="s">
        <v>266</v>
      </c>
      <c r="L372" s="104" t="s">
        <v>717</v>
      </c>
      <c r="M372" s="292">
        <v>805</v>
      </c>
    </row>
    <row r="373" spans="1:13" s="3" customFormat="1" ht="18.95" customHeight="1">
      <c r="A373" s="108"/>
      <c r="B373" s="108"/>
      <c r="C373" s="27" t="s">
        <v>17</v>
      </c>
      <c r="D373" s="28">
        <v>52211.4</v>
      </c>
      <c r="E373" s="30">
        <v>41435.706789999997</v>
      </c>
      <c r="F373" s="30">
        <v>41435.706789999997</v>
      </c>
      <c r="G373" s="31">
        <f t="shared" si="25"/>
        <v>0.79361416836169874</v>
      </c>
      <c r="H373" s="110"/>
      <c r="I373" s="129"/>
      <c r="J373" s="112"/>
      <c r="K373" s="110"/>
      <c r="L373" s="105"/>
      <c r="M373" s="292"/>
    </row>
    <row r="374" spans="1:13" s="3" customFormat="1" ht="18.95" customHeight="1">
      <c r="A374" s="108"/>
      <c r="B374" s="108"/>
      <c r="C374" s="27" t="s">
        <v>19</v>
      </c>
      <c r="D374" s="28">
        <v>0</v>
      </c>
      <c r="E374" s="30">
        <v>0</v>
      </c>
      <c r="F374" s="30">
        <v>0</v>
      </c>
      <c r="G374" s="31">
        <f t="shared" si="25"/>
        <v>0</v>
      </c>
      <c r="H374" s="110"/>
      <c r="I374" s="129"/>
      <c r="J374" s="112"/>
      <c r="K374" s="110"/>
      <c r="L374" s="105"/>
      <c r="M374" s="292"/>
    </row>
    <row r="375" spans="1:13" s="3" customFormat="1" ht="18.95" customHeight="1">
      <c r="A375" s="108"/>
      <c r="B375" s="108"/>
      <c r="C375" s="27" t="s">
        <v>21</v>
      </c>
      <c r="D375" s="28">
        <v>0</v>
      </c>
      <c r="E375" s="30">
        <v>0</v>
      </c>
      <c r="F375" s="30">
        <v>0</v>
      </c>
      <c r="G375" s="31">
        <f t="shared" si="25"/>
        <v>0</v>
      </c>
      <c r="H375" s="110"/>
      <c r="I375" s="129"/>
      <c r="J375" s="112"/>
      <c r="K375" s="110"/>
      <c r="L375" s="105"/>
      <c r="M375" s="292"/>
    </row>
    <row r="376" spans="1:13" s="3" customFormat="1" ht="18.95" customHeight="1">
      <c r="A376" s="108"/>
      <c r="B376" s="108"/>
      <c r="C376" s="27" t="s">
        <v>31</v>
      </c>
      <c r="D376" s="28">
        <v>0</v>
      </c>
      <c r="E376" s="30">
        <v>0</v>
      </c>
      <c r="F376" s="30">
        <v>0</v>
      </c>
      <c r="G376" s="31">
        <f t="shared" si="25"/>
        <v>0</v>
      </c>
      <c r="H376" s="110"/>
      <c r="I376" s="130"/>
      <c r="J376" s="113"/>
      <c r="K376" s="110"/>
      <c r="L376" s="106"/>
      <c r="M376" s="292"/>
    </row>
    <row r="377" spans="1:13" s="3" customFormat="1" ht="18.95" customHeight="1">
      <c r="A377" s="107" t="s">
        <v>278</v>
      </c>
      <c r="B377" s="107" t="s">
        <v>37</v>
      </c>
      <c r="C377" s="27" t="s">
        <v>14</v>
      </c>
      <c r="D377" s="28">
        <f>SUM(D378:D381)</f>
        <v>182709.1</v>
      </c>
      <c r="E377" s="30">
        <f>SUM(E378:E381)</f>
        <v>81418.038140000004</v>
      </c>
      <c r="F377" s="30">
        <f>SUM(F378:F381)</f>
        <v>76232.44</v>
      </c>
      <c r="G377" s="29">
        <f t="shared" si="25"/>
        <v>0.41723395276973069</v>
      </c>
      <c r="H377" s="109" t="s">
        <v>279</v>
      </c>
      <c r="I377" s="111" t="s">
        <v>280</v>
      </c>
      <c r="J377" s="111" t="s">
        <v>701</v>
      </c>
      <c r="K377" s="109" t="s">
        <v>274</v>
      </c>
      <c r="L377" s="104" t="s">
        <v>180</v>
      </c>
      <c r="M377" s="292">
        <v>805</v>
      </c>
    </row>
    <row r="378" spans="1:13" s="3" customFormat="1" ht="18.95" customHeight="1">
      <c r="A378" s="108"/>
      <c r="B378" s="108"/>
      <c r="C378" s="27" t="s">
        <v>17</v>
      </c>
      <c r="D378" s="28">
        <f>182709.1</f>
        <v>182709.1</v>
      </c>
      <c r="E378" s="30">
        <v>81418.038140000004</v>
      </c>
      <c r="F378" s="30">
        <v>76232.44</v>
      </c>
      <c r="G378" s="31">
        <f t="shared" si="25"/>
        <v>0.41723395276973069</v>
      </c>
      <c r="H378" s="110"/>
      <c r="I378" s="112"/>
      <c r="J378" s="112"/>
      <c r="K378" s="110"/>
      <c r="L378" s="105"/>
      <c r="M378" s="292"/>
    </row>
    <row r="379" spans="1:13" s="3" customFormat="1" ht="18.95" customHeight="1">
      <c r="A379" s="108"/>
      <c r="B379" s="108"/>
      <c r="C379" s="27" t="s">
        <v>19</v>
      </c>
      <c r="D379" s="28">
        <v>0</v>
      </c>
      <c r="E379" s="30">
        <v>0</v>
      </c>
      <c r="F379" s="30">
        <v>0</v>
      </c>
      <c r="G379" s="31">
        <f t="shared" si="25"/>
        <v>0</v>
      </c>
      <c r="H379" s="110"/>
      <c r="I379" s="112"/>
      <c r="J379" s="112"/>
      <c r="K379" s="110"/>
      <c r="L379" s="105"/>
      <c r="M379" s="292"/>
    </row>
    <row r="380" spans="1:13" s="3" customFormat="1" ht="18.95" customHeight="1">
      <c r="A380" s="108"/>
      <c r="B380" s="108"/>
      <c r="C380" s="27" t="s">
        <v>21</v>
      </c>
      <c r="D380" s="28">
        <v>0</v>
      </c>
      <c r="E380" s="30">
        <v>0</v>
      </c>
      <c r="F380" s="30">
        <v>0</v>
      </c>
      <c r="G380" s="31">
        <f t="shared" si="25"/>
        <v>0</v>
      </c>
      <c r="H380" s="110"/>
      <c r="I380" s="112"/>
      <c r="J380" s="112"/>
      <c r="K380" s="110"/>
      <c r="L380" s="105"/>
      <c r="M380" s="292"/>
    </row>
    <row r="381" spans="1:13" s="3" customFormat="1" ht="18.95" customHeight="1">
      <c r="A381" s="108"/>
      <c r="B381" s="108"/>
      <c r="C381" s="27" t="s">
        <v>31</v>
      </c>
      <c r="D381" s="28">
        <v>0</v>
      </c>
      <c r="E381" s="30">
        <v>0</v>
      </c>
      <c r="F381" s="30">
        <v>0</v>
      </c>
      <c r="G381" s="31">
        <f t="shared" si="25"/>
        <v>0</v>
      </c>
      <c r="H381" s="110"/>
      <c r="I381" s="113"/>
      <c r="J381" s="113"/>
      <c r="K381" s="110"/>
      <c r="L381" s="106"/>
      <c r="M381" s="292"/>
    </row>
    <row r="382" spans="1:13" s="3" customFormat="1" ht="18.95" customHeight="1">
      <c r="A382" s="123" t="s">
        <v>281</v>
      </c>
      <c r="B382" s="123" t="s">
        <v>282</v>
      </c>
      <c r="C382" s="40" t="s">
        <v>14</v>
      </c>
      <c r="D382" s="41">
        <f>SUM(D383:D386)</f>
        <v>170639.8</v>
      </c>
      <c r="E382" s="42">
        <f>SUM(E383:E386)</f>
        <v>94094.277549999999</v>
      </c>
      <c r="F382" s="42">
        <f>SUM(F383:F386)</f>
        <v>74626.850000000006</v>
      </c>
      <c r="G382" s="43">
        <f>IF(D382&lt;&gt;0,F382/D382,0)</f>
        <v>0.43733554540031111</v>
      </c>
      <c r="H382" s="121" t="s">
        <v>283</v>
      </c>
      <c r="I382" s="65" t="s">
        <v>15</v>
      </c>
      <c r="J382" s="65">
        <v>1</v>
      </c>
      <c r="K382" s="121" t="s">
        <v>284</v>
      </c>
      <c r="L382" s="125"/>
      <c r="M382" s="292">
        <v>805</v>
      </c>
    </row>
    <row r="383" spans="1:13" s="3" customFormat="1" ht="18.95" customHeight="1">
      <c r="A383" s="124"/>
      <c r="B383" s="124"/>
      <c r="C383" s="40" t="s">
        <v>17</v>
      </c>
      <c r="D383" s="41">
        <f t="shared" ref="D383:F384" si="26">D388</f>
        <v>170639.8</v>
      </c>
      <c r="E383" s="42">
        <f t="shared" si="26"/>
        <v>94094.277549999999</v>
      </c>
      <c r="F383" s="42">
        <f t="shared" si="26"/>
        <v>74626.850000000006</v>
      </c>
      <c r="G383" s="45">
        <f>IF(D383&lt;&gt;0,F383/D383,0)</f>
        <v>0.43733554540031111</v>
      </c>
      <c r="H383" s="122"/>
      <c r="I383" s="65" t="s">
        <v>18</v>
      </c>
      <c r="J383" s="65">
        <v>0</v>
      </c>
      <c r="K383" s="122"/>
      <c r="L383" s="126"/>
      <c r="M383" s="292"/>
    </row>
    <row r="384" spans="1:13" s="3" customFormat="1" ht="18.95" customHeight="1">
      <c r="A384" s="124"/>
      <c r="B384" s="124"/>
      <c r="C384" s="40" t="s">
        <v>19</v>
      </c>
      <c r="D384" s="41">
        <f t="shared" si="26"/>
        <v>0</v>
      </c>
      <c r="E384" s="42">
        <f t="shared" si="26"/>
        <v>0</v>
      </c>
      <c r="F384" s="42">
        <f t="shared" si="26"/>
        <v>0</v>
      </c>
      <c r="G384" s="45">
        <f>IF(D384&lt;&gt;0,F384/D384,0)</f>
        <v>0</v>
      </c>
      <c r="H384" s="122"/>
      <c r="I384" s="65" t="s">
        <v>20</v>
      </c>
      <c r="J384" s="65">
        <v>1</v>
      </c>
      <c r="K384" s="122"/>
      <c r="L384" s="126"/>
      <c r="M384" s="292"/>
    </row>
    <row r="385" spans="1:13" s="3" customFormat="1" ht="18.95" customHeight="1">
      <c r="A385" s="124"/>
      <c r="B385" s="124"/>
      <c r="C385" s="40" t="s">
        <v>21</v>
      </c>
      <c r="D385" s="41">
        <v>0</v>
      </c>
      <c r="E385" s="42">
        <f>E390</f>
        <v>0</v>
      </c>
      <c r="F385" s="42">
        <f>F390</f>
        <v>0</v>
      </c>
      <c r="G385" s="45">
        <f>IF(D385&lt;&gt;0,F385/D385,0)</f>
        <v>0</v>
      </c>
      <c r="H385" s="122"/>
      <c r="I385" s="65" t="s">
        <v>22</v>
      </c>
      <c r="J385" s="65">
        <v>0</v>
      </c>
      <c r="K385" s="122"/>
      <c r="L385" s="126"/>
      <c r="M385" s="292"/>
    </row>
    <row r="386" spans="1:13" s="3" customFormat="1" ht="18.95" customHeight="1">
      <c r="A386" s="124"/>
      <c r="B386" s="124"/>
      <c r="C386" s="40" t="s">
        <v>31</v>
      </c>
      <c r="D386" s="41">
        <f>D391</f>
        <v>0</v>
      </c>
      <c r="E386" s="42">
        <f>E391</f>
        <v>0</v>
      </c>
      <c r="F386" s="42">
        <f>F391</f>
        <v>0</v>
      </c>
      <c r="G386" s="45">
        <f>IF(D386&lt;&gt;0,F386/D386,0)</f>
        <v>0</v>
      </c>
      <c r="H386" s="122"/>
      <c r="I386" s="65" t="s">
        <v>24</v>
      </c>
      <c r="J386" s="66">
        <f>IF(J382=0,0,(J383+J384*0.5)/J382)</f>
        <v>0.5</v>
      </c>
      <c r="K386" s="122"/>
      <c r="L386" s="127"/>
      <c r="M386" s="292"/>
    </row>
    <row r="387" spans="1:13" s="3" customFormat="1" ht="18.95" customHeight="1">
      <c r="A387" s="107" t="s">
        <v>285</v>
      </c>
      <c r="B387" s="107" t="s">
        <v>37</v>
      </c>
      <c r="C387" s="27" t="s">
        <v>14</v>
      </c>
      <c r="D387" s="28">
        <f>SUM(D388:D391)</f>
        <v>170639.8</v>
      </c>
      <c r="E387" s="30">
        <f>SUM(E388:E391)</f>
        <v>94094.277549999999</v>
      </c>
      <c r="F387" s="30">
        <f>SUM(F388:F391)</f>
        <v>74626.850000000006</v>
      </c>
      <c r="G387" s="29">
        <f t="shared" ref="G387:G396" si="27">IF(D387&lt;&gt;0,F387/D387,0)</f>
        <v>0.43733554540031111</v>
      </c>
      <c r="H387" s="109" t="s">
        <v>286</v>
      </c>
      <c r="I387" s="128" t="s">
        <v>828</v>
      </c>
      <c r="J387" s="111" t="s">
        <v>701</v>
      </c>
      <c r="K387" s="109" t="s">
        <v>287</v>
      </c>
      <c r="L387" s="104" t="s">
        <v>288</v>
      </c>
      <c r="M387" s="292">
        <v>805</v>
      </c>
    </row>
    <row r="388" spans="1:13" s="3" customFormat="1" ht="18.95" customHeight="1">
      <c r="A388" s="108"/>
      <c r="B388" s="108"/>
      <c r="C388" s="27" t="s">
        <v>17</v>
      </c>
      <c r="D388" s="28">
        <f>170639.8</f>
        <v>170639.8</v>
      </c>
      <c r="E388" s="30">
        <v>94094.277549999999</v>
      </c>
      <c r="F388" s="30">
        <v>74626.850000000006</v>
      </c>
      <c r="G388" s="31">
        <f t="shared" si="27"/>
        <v>0.43733554540031111</v>
      </c>
      <c r="H388" s="110"/>
      <c r="I388" s="129"/>
      <c r="J388" s="112"/>
      <c r="K388" s="110"/>
      <c r="L388" s="105"/>
      <c r="M388" s="292"/>
    </row>
    <row r="389" spans="1:13" s="3" customFormat="1" ht="18.95" customHeight="1">
      <c r="A389" s="108"/>
      <c r="B389" s="108"/>
      <c r="C389" s="27" t="s">
        <v>19</v>
      </c>
      <c r="D389" s="28">
        <v>0</v>
      </c>
      <c r="E389" s="30">
        <v>0</v>
      </c>
      <c r="F389" s="30">
        <v>0</v>
      </c>
      <c r="G389" s="31">
        <f t="shared" si="27"/>
        <v>0</v>
      </c>
      <c r="H389" s="110"/>
      <c r="I389" s="129"/>
      <c r="J389" s="112"/>
      <c r="K389" s="110"/>
      <c r="L389" s="105"/>
      <c r="M389" s="292"/>
    </row>
    <row r="390" spans="1:13" s="3" customFormat="1" ht="18.95" customHeight="1">
      <c r="A390" s="108"/>
      <c r="B390" s="108"/>
      <c r="C390" s="27" t="s">
        <v>21</v>
      </c>
      <c r="D390" s="28">
        <v>0</v>
      </c>
      <c r="E390" s="30">
        <v>0</v>
      </c>
      <c r="F390" s="30">
        <v>0</v>
      </c>
      <c r="G390" s="31">
        <f t="shared" si="27"/>
        <v>0</v>
      </c>
      <c r="H390" s="110"/>
      <c r="I390" s="129"/>
      <c r="J390" s="112"/>
      <c r="K390" s="110"/>
      <c r="L390" s="105"/>
      <c r="M390" s="292"/>
    </row>
    <row r="391" spans="1:13" s="3" customFormat="1" ht="18.95" customHeight="1">
      <c r="A391" s="108"/>
      <c r="B391" s="108"/>
      <c r="C391" s="27" t="s">
        <v>31</v>
      </c>
      <c r="D391" s="28">
        <v>0</v>
      </c>
      <c r="E391" s="30">
        <v>0</v>
      </c>
      <c r="F391" s="30">
        <v>0</v>
      </c>
      <c r="G391" s="31">
        <f t="shared" si="27"/>
        <v>0</v>
      </c>
      <c r="H391" s="110"/>
      <c r="I391" s="130"/>
      <c r="J391" s="113"/>
      <c r="K391" s="110"/>
      <c r="L391" s="106"/>
      <c r="M391" s="292"/>
    </row>
    <row r="392" spans="1:13" s="3" customFormat="1" ht="18.95" customHeight="1">
      <c r="A392" s="123" t="s">
        <v>289</v>
      </c>
      <c r="B392" s="121" t="s">
        <v>290</v>
      </c>
      <c r="C392" s="40" t="s">
        <v>14</v>
      </c>
      <c r="D392" s="41">
        <f>SUM(D393:D396)</f>
        <v>13395.6</v>
      </c>
      <c r="E392" s="42">
        <f>SUM(E393:E396)</f>
        <v>4597.5965800000004</v>
      </c>
      <c r="F392" s="42">
        <f>SUM(F393:F396)</f>
        <v>4129.6000000000004</v>
      </c>
      <c r="G392" s="43">
        <f t="shared" si="27"/>
        <v>0.30828033085490758</v>
      </c>
      <c r="H392" s="121" t="s">
        <v>291</v>
      </c>
      <c r="I392" s="65" t="s">
        <v>15</v>
      </c>
      <c r="J392" s="65">
        <v>1</v>
      </c>
      <c r="K392" s="121" t="s">
        <v>292</v>
      </c>
      <c r="L392" s="125"/>
      <c r="M392" s="292">
        <v>805</v>
      </c>
    </row>
    <row r="393" spans="1:13" s="3" customFormat="1" ht="18.95" customHeight="1">
      <c r="A393" s="124"/>
      <c r="B393" s="122"/>
      <c r="C393" s="40" t="s">
        <v>17</v>
      </c>
      <c r="D393" s="41">
        <f>SUM(D398)</f>
        <v>13395.6</v>
      </c>
      <c r="E393" s="42">
        <f t="shared" ref="E393:F396" si="28">E398</f>
        <v>4597.5965800000004</v>
      </c>
      <c r="F393" s="42">
        <f t="shared" si="28"/>
        <v>4129.6000000000004</v>
      </c>
      <c r="G393" s="45">
        <f t="shared" si="27"/>
        <v>0.30828033085490758</v>
      </c>
      <c r="H393" s="122"/>
      <c r="I393" s="65" t="s">
        <v>18</v>
      </c>
      <c r="J393" s="65">
        <v>0</v>
      </c>
      <c r="K393" s="122"/>
      <c r="L393" s="126"/>
      <c r="M393" s="292"/>
    </row>
    <row r="394" spans="1:13" s="3" customFormat="1" ht="18.95" customHeight="1">
      <c r="A394" s="124"/>
      <c r="B394" s="122"/>
      <c r="C394" s="40" t="s">
        <v>19</v>
      </c>
      <c r="D394" s="41">
        <f>SUM(D399)</f>
        <v>0</v>
      </c>
      <c r="E394" s="42">
        <f t="shared" si="28"/>
        <v>0</v>
      </c>
      <c r="F394" s="42">
        <f t="shared" si="28"/>
        <v>0</v>
      </c>
      <c r="G394" s="45">
        <f t="shared" si="27"/>
        <v>0</v>
      </c>
      <c r="H394" s="122"/>
      <c r="I394" s="65" t="s">
        <v>20</v>
      </c>
      <c r="J394" s="65">
        <v>1</v>
      </c>
      <c r="K394" s="122"/>
      <c r="L394" s="126"/>
      <c r="M394" s="292"/>
    </row>
    <row r="395" spans="1:13" s="3" customFormat="1" ht="18.95" customHeight="1">
      <c r="A395" s="124"/>
      <c r="B395" s="122"/>
      <c r="C395" s="40" t="s">
        <v>21</v>
      </c>
      <c r="D395" s="41">
        <v>0</v>
      </c>
      <c r="E395" s="42">
        <f t="shared" si="28"/>
        <v>0</v>
      </c>
      <c r="F395" s="42">
        <f t="shared" si="28"/>
        <v>0</v>
      </c>
      <c r="G395" s="45">
        <f t="shared" si="27"/>
        <v>0</v>
      </c>
      <c r="H395" s="122"/>
      <c r="I395" s="65" t="s">
        <v>22</v>
      </c>
      <c r="J395" s="65">
        <v>0</v>
      </c>
      <c r="K395" s="122"/>
      <c r="L395" s="126"/>
      <c r="M395" s="292"/>
    </row>
    <row r="396" spans="1:13" s="3" customFormat="1" ht="18.95" customHeight="1">
      <c r="A396" s="124"/>
      <c r="B396" s="122"/>
      <c r="C396" s="40" t="s">
        <v>31</v>
      </c>
      <c r="D396" s="41">
        <f>SUM(D401)</f>
        <v>0</v>
      </c>
      <c r="E396" s="42">
        <f t="shared" si="28"/>
        <v>0</v>
      </c>
      <c r="F396" s="42">
        <f t="shared" si="28"/>
        <v>0</v>
      </c>
      <c r="G396" s="45">
        <f t="shared" si="27"/>
        <v>0</v>
      </c>
      <c r="H396" s="122"/>
      <c r="I396" s="65" t="s">
        <v>24</v>
      </c>
      <c r="J396" s="66">
        <f>IF(J392=0,0,(J393+J394*0.5)/J392)</f>
        <v>0.5</v>
      </c>
      <c r="K396" s="122"/>
      <c r="L396" s="127"/>
      <c r="M396" s="292"/>
    </row>
    <row r="397" spans="1:13" s="3" customFormat="1" ht="18.95" customHeight="1">
      <c r="A397" s="107" t="s">
        <v>293</v>
      </c>
      <c r="B397" s="107" t="s">
        <v>37</v>
      </c>
      <c r="C397" s="27" t="s">
        <v>14</v>
      </c>
      <c r="D397" s="28">
        <f>SUM(D398:D401)</f>
        <v>13395.6</v>
      </c>
      <c r="E397" s="30">
        <f>SUM(E398:E401)</f>
        <v>4597.5965800000004</v>
      </c>
      <c r="F397" s="30">
        <f>SUM(F398:F401)</f>
        <v>4129.6000000000004</v>
      </c>
      <c r="G397" s="29">
        <f t="shared" si="25"/>
        <v>0.30828033085490758</v>
      </c>
      <c r="H397" s="109" t="s">
        <v>294</v>
      </c>
      <c r="I397" s="111" t="s">
        <v>295</v>
      </c>
      <c r="J397" s="111" t="s">
        <v>701</v>
      </c>
      <c r="K397" s="109" t="s">
        <v>296</v>
      </c>
      <c r="L397" s="104" t="s">
        <v>794</v>
      </c>
      <c r="M397" s="292">
        <v>805</v>
      </c>
    </row>
    <row r="398" spans="1:13" s="3" customFormat="1" ht="18.95" customHeight="1">
      <c r="A398" s="108"/>
      <c r="B398" s="108"/>
      <c r="C398" s="27" t="s">
        <v>17</v>
      </c>
      <c r="D398" s="28">
        <f>13395.6</f>
        <v>13395.6</v>
      </c>
      <c r="E398" s="30">
        <v>4597.5965800000004</v>
      </c>
      <c r="F398" s="30">
        <v>4129.6000000000004</v>
      </c>
      <c r="G398" s="31">
        <f t="shared" si="25"/>
        <v>0.30828033085490758</v>
      </c>
      <c r="H398" s="110"/>
      <c r="I398" s="112"/>
      <c r="J398" s="112"/>
      <c r="K398" s="110"/>
      <c r="L398" s="105"/>
      <c r="M398" s="292"/>
    </row>
    <row r="399" spans="1:13" s="3" customFormat="1" ht="18.95" customHeight="1">
      <c r="A399" s="108"/>
      <c r="B399" s="108"/>
      <c r="C399" s="27" t="s">
        <v>19</v>
      </c>
      <c r="D399" s="28">
        <v>0</v>
      </c>
      <c r="E399" s="30">
        <v>0</v>
      </c>
      <c r="F399" s="30">
        <v>0</v>
      </c>
      <c r="G399" s="31">
        <f t="shared" si="25"/>
        <v>0</v>
      </c>
      <c r="H399" s="110"/>
      <c r="I399" s="112"/>
      <c r="J399" s="112"/>
      <c r="K399" s="110"/>
      <c r="L399" s="105"/>
      <c r="M399" s="292"/>
    </row>
    <row r="400" spans="1:13" s="3" customFormat="1" ht="18.95" customHeight="1">
      <c r="A400" s="108"/>
      <c r="B400" s="108"/>
      <c r="C400" s="27" t="s">
        <v>21</v>
      </c>
      <c r="D400" s="28">
        <v>0</v>
      </c>
      <c r="E400" s="30">
        <v>0</v>
      </c>
      <c r="F400" s="30">
        <v>0</v>
      </c>
      <c r="G400" s="31">
        <f t="shared" si="25"/>
        <v>0</v>
      </c>
      <c r="H400" s="110"/>
      <c r="I400" s="112"/>
      <c r="J400" s="112"/>
      <c r="K400" s="110"/>
      <c r="L400" s="105"/>
      <c r="M400" s="292"/>
    </row>
    <row r="401" spans="1:13" s="3" customFormat="1" ht="18.95" customHeight="1">
      <c r="A401" s="108"/>
      <c r="B401" s="108"/>
      <c r="C401" s="27" t="s">
        <v>31</v>
      </c>
      <c r="D401" s="28">
        <v>0</v>
      </c>
      <c r="E401" s="30">
        <v>0</v>
      </c>
      <c r="F401" s="30">
        <v>0</v>
      </c>
      <c r="G401" s="31">
        <f t="shared" si="25"/>
        <v>0</v>
      </c>
      <c r="H401" s="110"/>
      <c r="I401" s="113"/>
      <c r="J401" s="113"/>
      <c r="K401" s="110"/>
      <c r="L401" s="106"/>
      <c r="M401" s="292"/>
    </row>
    <row r="402" spans="1:13" s="3" customFormat="1" ht="18.95" customHeight="1">
      <c r="A402" s="194" t="s">
        <v>297</v>
      </c>
      <c r="B402" s="139" t="s">
        <v>298</v>
      </c>
      <c r="C402" s="48" t="s">
        <v>14</v>
      </c>
      <c r="D402" s="49">
        <f>SUM(D403:D406)</f>
        <v>2335858.5</v>
      </c>
      <c r="E402" s="50">
        <f>SUM(E403:E406)</f>
        <v>755951.5</v>
      </c>
      <c r="F402" s="50">
        <f>SUM(F403:F406)</f>
        <v>755951.5</v>
      </c>
      <c r="G402" s="51">
        <f t="shared" si="25"/>
        <v>0.32362897838203813</v>
      </c>
      <c r="H402" s="134" t="s">
        <v>299</v>
      </c>
      <c r="I402" s="67" t="s">
        <v>15</v>
      </c>
      <c r="J402" s="67">
        <v>2</v>
      </c>
      <c r="K402" s="134" t="s">
        <v>118</v>
      </c>
      <c r="L402" s="136"/>
      <c r="M402" s="292">
        <v>805</v>
      </c>
    </row>
    <row r="403" spans="1:13" s="3" customFormat="1" ht="18.95" customHeight="1">
      <c r="A403" s="195"/>
      <c r="B403" s="140"/>
      <c r="C403" s="48" t="s">
        <v>17</v>
      </c>
      <c r="D403" s="49">
        <f>D408+D413</f>
        <v>0</v>
      </c>
      <c r="E403" s="50">
        <f>E408+E413</f>
        <v>0</v>
      </c>
      <c r="F403" s="50">
        <f>F408+F413</f>
        <v>0</v>
      </c>
      <c r="G403" s="52">
        <f t="shared" si="25"/>
        <v>0</v>
      </c>
      <c r="H403" s="135"/>
      <c r="I403" s="67" t="s">
        <v>18</v>
      </c>
      <c r="J403" s="67">
        <f>COUNTIF($J$407:$J$416,"да")</f>
        <v>0</v>
      </c>
      <c r="K403" s="135"/>
      <c r="L403" s="137"/>
      <c r="M403" s="292"/>
    </row>
    <row r="404" spans="1:13" s="3" customFormat="1" ht="18.95" customHeight="1">
      <c r="A404" s="195"/>
      <c r="B404" s="140"/>
      <c r="C404" s="48" t="s">
        <v>19</v>
      </c>
      <c r="D404" s="49">
        <f>D409+D414</f>
        <v>101248.2</v>
      </c>
      <c r="E404" s="50">
        <f t="shared" ref="E404:F406" si="29">E409+E414</f>
        <v>6500</v>
      </c>
      <c r="F404" s="50">
        <f t="shared" si="29"/>
        <v>6500</v>
      </c>
      <c r="G404" s="52">
        <f t="shared" si="25"/>
        <v>6.4198672173925067E-2</v>
      </c>
      <c r="H404" s="135"/>
      <c r="I404" s="67" t="s">
        <v>20</v>
      </c>
      <c r="J404" s="67">
        <f>COUNTIF($J$407:$J$416,"частично")</f>
        <v>1</v>
      </c>
      <c r="K404" s="135"/>
      <c r="L404" s="137"/>
      <c r="M404" s="292"/>
    </row>
    <row r="405" spans="1:13" s="3" customFormat="1" ht="18.95" customHeight="1">
      <c r="A405" s="195"/>
      <c r="B405" s="140"/>
      <c r="C405" s="48" t="s">
        <v>21</v>
      </c>
      <c r="D405" s="49">
        <v>0</v>
      </c>
      <c r="E405" s="50">
        <f t="shared" si="29"/>
        <v>0</v>
      </c>
      <c r="F405" s="50">
        <f t="shared" si="29"/>
        <v>0</v>
      </c>
      <c r="G405" s="52">
        <f t="shared" si="25"/>
        <v>0</v>
      </c>
      <c r="H405" s="135"/>
      <c r="I405" s="67" t="s">
        <v>22</v>
      </c>
      <c r="J405" s="67">
        <f>COUNTIF($J$407:$J$416,"нет")</f>
        <v>1</v>
      </c>
      <c r="K405" s="135"/>
      <c r="L405" s="137"/>
      <c r="M405" s="292"/>
    </row>
    <row r="406" spans="1:13" s="3" customFormat="1" ht="18.95" customHeight="1">
      <c r="A406" s="195"/>
      <c r="B406" s="140"/>
      <c r="C406" s="48" t="s">
        <v>31</v>
      </c>
      <c r="D406" s="49">
        <f>D411+D416</f>
        <v>2234610.2999999998</v>
      </c>
      <c r="E406" s="50">
        <f t="shared" si="29"/>
        <v>749451.5</v>
      </c>
      <c r="F406" s="50">
        <f t="shared" si="29"/>
        <v>749451.5</v>
      </c>
      <c r="G406" s="52">
        <f t="shared" si="25"/>
        <v>0.33538353421175948</v>
      </c>
      <c r="H406" s="135"/>
      <c r="I406" s="67" t="s">
        <v>24</v>
      </c>
      <c r="J406" s="68">
        <f>IF(J402=0,0,(J403+J404*0.5)/J402)</f>
        <v>0.25</v>
      </c>
      <c r="K406" s="135"/>
      <c r="L406" s="138"/>
      <c r="M406" s="292"/>
    </row>
    <row r="407" spans="1:13" s="3" customFormat="1" ht="18.95" customHeight="1">
      <c r="A407" s="194" t="s">
        <v>300</v>
      </c>
      <c r="B407" s="139" t="s">
        <v>301</v>
      </c>
      <c r="C407" s="48" t="s">
        <v>14</v>
      </c>
      <c r="D407" s="49">
        <f>SUM(D408:D411)</f>
        <v>101248.2</v>
      </c>
      <c r="E407" s="50">
        <f>SUM(E408:E411)</f>
        <v>6500</v>
      </c>
      <c r="F407" s="50">
        <f>SUM(F408:F411)</f>
        <v>6500</v>
      </c>
      <c r="G407" s="51">
        <f t="shared" si="25"/>
        <v>6.4198672173925067E-2</v>
      </c>
      <c r="H407" s="134" t="s">
        <v>302</v>
      </c>
      <c r="I407" s="143" t="s">
        <v>829</v>
      </c>
      <c r="J407" s="143" t="s">
        <v>105</v>
      </c>
      <c r="K407" s="134" t="s">
        <v>118</v>
      </c>
      <c r="L407" s="136" t="s">
        <v>798</v>
      </c>
      <c r="M407" s="292">
        <v>805</v>
      </c>
    </row>
    <row r="408" spans="1:13" s="3" customFormat="1" ht="18.95" customHeight="1">
      <c r="A408" s="195"/>
      <c r="B408" s="140"/>
      <c r="C408" s="48" t="s">
        <v>17</v>
      </c>
      <c r="D408" s="49">
        <v>0</v>
      </c>
      <c r="E408" s="50">
        <v>0</v>
      </c>
      <c r="F408" s="50">
        <v>0</v>
      </c>
      <c r="G408" s="52">
        <f t="shared" si="25"/>
        <v>0</v>
      </c>
      <c r="H408" s="135"/>
      <c r="I408" s="144"/>
      <c r="J408" s="144"/>
      <c r="K408" s="135"/>
      <c r="L408" s="137"/>
      <c r="M408" s="292"/>
    </row>
    <row r="409" spans="1:13" s="3" customFormat="1" ht="18.95" customHeight="1">
      <c r="A409" s="195"/>
      <c r="B409" s="140"/>
      <c r="C409" s="48" t="s">
        <v>19</v>
      </c>
      <c r="D409" s="49">
        <v>101248.2</v>
      </c>
      <c r="E409" s="50">
        <v>6500</v>
      </c>
      <c r="F409" s="50">
        <v>6500</v>
      </c>
      <c r="G409" s="52">
        <f t="shared" si="25"/>
        <v>6.4198672173925067E-2</v>
      </c>
      <c r="H409" s="135"/>
      <c r="I409" s="144"/>
      <c r="J409" s="144"/>
      <c r="K409" s="135"/>
      <c r="L409" s="137"/>
      <c r="M409" s="292"/>
    </row>
    <row r="410" spans="1:13" s="3" customFormat="1" ht="18.95" customHeight="1">
      <c r="A410" s="195"/>
      <c r="B410" s="140"/>
      <c r="C410" s="48" t="s">
        <v>21</v>
      </c>
      <c r="D410" s="49">
        <v>0</v>
      </c>
      <c r="E410" s="50">
        <v>0</v>
      </c>
      <c r="F410" s="50">
        <v>0</v>
      </c>
      <c r="G410" s="52">
        <f t="shared" si="25"/>
        <v>0</v>
      </c>
      <c r="H410" s="135"/>
      <c r="I410" s="144"/>
      <c r="J410" s="144"/>
      <c r="K410" s="135"/>
      <c r="L410" s="137"/>
      <c r="M410" s="292"/>
    </row>
    <row r="411" spans="1:13" s="3" customFormat="1" ht="18.95" customHeight="1">
      <c r="A411" s="195"/>
      <c r="B411" s="140"/>
      <c r="C411" s="48" t="s">
        <v>31</v>
      </c>
      <c r="D411" s="49">
        <v>0</v>
      </c>
      <c r="E411" s="50">
        <v>0</v>
      </c>
      <c r="F411" s="50">
        <v>0</v>
      </c>
      <c r="G411" s="52">
        <f t="shared" si="25"/>
        <v>0</v>
      </c>
      <c r="H411" s="202"/>
      <c r="I411" s="145"/>
      <c r="J411" s="145"/>
      <c r="K411" s="202"/>
      <c r="L411" s="138"/>
      <c r="M411" s="292"/>
    </row>
    <row r="412" spans="1:13" s="3" customFormat="1" ht="18.95" customHeight="1">
      <c r="A412" s="194" t="s">
        <v>303</v>
      </c>
      <c r="B412" s="139" t="s">
        <v>304</v>
      </c>
      <c r="C412" s="48" t="s">
        <v>14</v>
      </c>
      <c r="D412" s="49">
        <f>SUM(D413:D416)</f>
        <v>2234610.2999999998</v>
      </c>
      <c r="E412" s="50">
        <f>SUM(E413:E416)</f>
        <v>749451.5</v>
      </c>
      <c r="F412" s="50">
        <f>SUM(F413:F416)</f>
        <v>749451.5</v>
      </c>
      <c r="G412" s="51">
        <f t="shared" si="25"/>
        <v>0.33538353421175948</v>
      </c>
      <c r="H412" s="134" t="s">
        <v>305</v>
      </c>
      <c r="I412" s="134" t="s">
        <v>739</v>
      </c>
      <c r="J412" s="143" t="s">
        <v>701</v>
      </c>
      <c r="K412" s="134" t="s">
        <v>243</v>
      </c>
      <c r="L412" s="134" t="s">
        <v>802</v>
      </c>
      <c r="M412" s="292">
        <v>805</v>
      </c>
    </row>
    <row r="413" spans="1:13" s="3" customFormat="1" ht="18.95" customHeight="1">
      <c r="A413" s="195"/>
      <c r="B413" s="140"/>
      <c r="C413" s="48" t="s">
        <v>17</v>
      </c>
      <c r="D413" s="49">
        <v>0</v>
      </c>
      <c r="E413" s="50">
        <v>0</v>
      </c>
      <c r="F413" s="50">
        <v>0</v>
      </c>
      <c r="G413" s="52">
        <f t="shared" si="25"/>
        <v>0</v>
      </c>
      <c r="H413" s="135"/>
      <c r="I413" s="135"/>
      <c r="J413" s="144"/>
      <c r="K413" s="135"/>
      <c r="L413" s="135"/>
      <c r="M413" s="292"/>
    </row>
    <row r="414" spans="1:13" s="3" customFormat="1" ht="18.95" customHeight="1">
      <c r="A414" s="195"/>
      <c r="B414" s="140"/>
      <c r="C414" s="48" t="s">
        <v>19</v>
      </c>
      <c r="D414" s="49">
        <v>0</v>
      </c>
      <c r="E414" s="50">
        <v>0</v>
      </c>
      <c r="F414" s="50">
        <v>0</v>
      </c>
      <c r="G414" s="52">
        <f t="shared" si="25"/>
        <v>0</v>
      </c>
      <c r="H414" s="135"/>
      <c r="I414" s="135"/>
      <c r="J414" s="144"/>
      <c r="K414" s="135"/>
      <c r="L414" s="135"/>
      <c r="M414" s="292"/>
    </row>
    <row r="415" spans="1:13" s="3" customFormat="1" ht="18.95" customHeight="1">
      <c r="A415" s="195"/>
      <c r="B415" s="140"/>
      <c r="C415" s="48" t="s">
        <v>21</v>
      </c>
      <c r="D415" s="49">
        <v>0</v>
      </c>
      <c r="E415" s="50">
        <v>0</v>
      </c>
      <c r="F415" s="50">
        <v>0</v>
      </c>
      <c r="G415" s="52">
        <f t="shared" si="25"/>
        <v>0</v>
      </c>
      <c r="H415" s="135"/>
      <c r="I415" s="135"/>
      <c r="J415" s="144"/>
      <c r="K415" s="135"/>
      <c r="L415" s="135"/>
      <c r="M415" s="292"/>
    </row>
    <row r="416" spans="1:13" s="3" customFormat="1" ht="18.95" customHeight="1">
      <c r="A416" s="195"/>
      <c r="B416" s="140"/>
      <c r="C416" s="48" t="s">
        <v>31</v>
      </c>
      <c r="D416" s="49">
        <v>2234610.2999999998</v>
      </c>
      <c r="E416" s="50">
        <v>749451.5</v>
      </c>
      <c r="F416" s="50">
        <v>749451.5</v>
      </c>
      <c r="G416" s="52">
        <f t="shared" si="25"/>
        <v>0.33538353421175948</v>
      </c>
      <c r="H416" s="202"/>
      <c r="I416" s="202"/>
      <c r="J416" s="145"/>
      <c r="K416" s="202"/>
      <c r="L416" s="202"/>
      <c r="M416" s="292"/>
    </row>
    <row r="417" spans="1:13" s="3" customFormat="1" ht="18.95" customHeight="1">
      <c r="A417" s="194" t="s">
        <v>306</v>
      </c>
      <c r="B417" s="139" t="s">
        <v>157</v>
      </c>
      <c r="C417" s="48" t="s">
        <v>14</v>
      </c>
      <c r="D417" s="49">
        <f>SUM(D418:D421)</f>
        <v>107586</v>
      </c>
      <c r="E417" s="50">
        <f>SUM(E418:E421)</f>
        <v>2399.9333299999998</v>
      </c>
      <c r="F417" s="50">
        <f>SUM(F418:F421)</f>
        <v>2399.9333299999998</v>
      </c>
      <c r="G417" s="51">
        <f t="shared" si="25"/>
        <v>2.2307115516888812E-2</v>
      </c>
      <c r="H417" s="134" t="s">
        <v>307</v>
      </c>
      <c r="I417" s="67" t="s">
        <v>15</v>
      </c>
      <c r="J417" s="67">
        <v>1</v>
      </c>
      <c r="K417" s="134" t="s">
        <v>118</v>
      </c>
      <c r="L417" s="136"/>
      <c r="M417" s="292">
        <v>805</v>
      </c>
    </row>
    <row r="418" spans="1:13" s="3" customFormat="1" ht="18.95" customHeight="1">
      <c r="A418" s="195"/>
      <c r="B418" s="140"/>
      <c r="C418" s="48" t="s">
        <v>17</v>
      </c>
      <c r="D418" s="49">
        <f>D423</f>
        <v>41592.699999999997</v>
      </c>
      <c r="E418" s="53">
        <f>E423</f>
        <v>0</v>
      </c>
      <c r="F418" s="53">
        <f>F423</f>
        <v>0</v>
      </c>
      <c r="G418" s="52">
        <f t="shared" si="25"/>
        <v>0</v>
      </c>
      <c r="H418" s="135"/>
      <c r="I418" s="67" t="s">
        <v>18</v>
      </c>
      <c r="J418" s="67">
        <v>0</v>
      </c>
      <c r="K418" s="135"/>
      <c r="L418" s="137"/>
      <c r="M418" s="292"/>
    </row>
    <row r="419" spans="1:13" s="3" customFormat="1" ht="18.95" customHeight="1">
      <c r="A419" s="195"/>
      <c r="B419" s="140"/>
      <c r="C419" s="48" t="s">
        <v>19</v>
      </c>
      <c r="D419" s="49">
        <f>D424</f>
        <v>65993.3</v>
      </c>
      <c r="E419" s="53">
        <f t="shared" ref="E419:F421" si="30">E424</f>
        <v>2399.9333299999998</v>
      </c>
      <c r="F419" s="53">
        <f t="shared" si="30"/>
        <v>2399.9333299999998</v>
      </c>
      <c r="G419" s="52">
        <f t="shared" si="25"/>
        <v>3.6366317944397382E-2</v>
      </c>
      <c r="H419" s="135"/>
      <c r="I419" s="67" t="s">
        <v>20</v>
      </c>
      <c r="J419" s="67">
        <v>0</v>
      </c>
      <c r="K419" s="135"/>
      <c r="L419" s="137"/>
      <c r="M419" s="292"/>
    </row>
    <row r="420" spans="1:13" s="3" customFormat="1" ht="18.95" customHeight="1">
      <c r="A420" s="195"/>
      <c r="B420" s="140"/>
      <c r="C420" s="48" t="s">
        <v>21</v>
      </c>
      <c r="D420" s="49">
        <v>0</v>
      </c>
      <c r="E420" s="53">
        <f t="shared" si="30"/>
        <v>0</v>
      </c>
      <c r="F420" s="53">
        <f t="shared" si="30"/>
        <v>0</v>
      </c>
      <c r="G420" s="52">
        <f t="shared" si="25"/>
        <v>0</v>
      </c>
      <c r="H420" s="135"/>
      <c r="I420" s="67" t="s">
        <v>22</v>
      </c>
      <c r="J420" s="67">
        <v>1</v>
      </c>
      <c r="K420" s="135"/>
      <c r="L420" s="137"/>
      <c r="M420" s="292"/>
    </row>
    <row r="421" spans="1:13" s="3" customFormat="1" ht="18.95" customHeight="1">
      <c r="A421" s="195"/>
      <c r="B421" s="140"/>
      <c r="C421" s="48" t="s">
        <v>31</v>
      </c>
      <c r="D421" s="49">
        <f>D426</f>
        <v>0</v>
      </c>
      <c r="E421" s="53">
        <f t="shared" si="30"/>
        <v>0</v>
      </c>
      <c r="F421" s="53">
        <f t="shared" si="30"/>
        <v>0</v>
      </c>
      <c r="G421" s="52">
        <f t="shared" si="25"/>
        <v>0</v>
      </c>
      <c r="H421" s="202"/>
      <c r="I421" s="67" t="s">
        <v>24</v>
      </c>
      <c r="J421" s="68">
        <f>IF(J417=0,0,(J418+J419*0.5)/J417)</f>
        <v>0</v>
      </c>
      <c r="K421" s="202"/>
      <c r="L421" s="241"/>
      <c r="M421" s="292"/>
    </row>
    <row r="422" spans="1:13" s="3" customFormat="1" ht="18.95" customHeight="1">
      <c r="A422" s="194" t="s">
        <v>308</v>
      </c>
      <c r="B422" s="139" t="s">
        <v>309</v>
      </c>
      <c r="C422" s="48" t="s">
        <v>14</v>
      </c>
      <c r="D422" s="49">
        <f>SUM(D423:D426)</f>
        <v>107586</v>
      </c>
      <c r="E422" s="50">
        <f>SUM(E423:E426)</f>
        <v>2399.9333299999998</v>
      </c>
      <c r="F422" s="50">
        <f>SUM(F423:F426)</f>
        <v>2399.9333299999998</v>
      </c>
      <c r="G422" s="51">
        <f t="shared" ref="G422:G436" si="31">IF(D422&lt;&gt;0,F422/D422,0)</f>
        <v>2.2307115516888812E-2</v>
      </c>
      <c r="H422" s="234" t="s">
        <v>310</v>
      </c>
      <c r="I422" s="143" t="s">
        <v>717</v>
      </c>
      <c r="J422" s="143" t="s">
        <v>105</v>
      </c>
      <c r="K422" s="134" t="s">
        <v>118</v>
      </c>
      <c r="L422" s="136" t="s">
        <v>798</v>
      </c>
      <c r="M422" s="292">
        <v>805</v>
      </c>
    </row>
    <row r="423" spans="1:13" s="3" customFormat="1" ht="18.95" customHeight="1">
      <c r="A423" s="195"/>
      <c r="B423" s="140"/>
      <c r="C423" s="48" t="s">
        <v>17</v>
      </c>
      <c r="D423" s="49">
        <v>41592.699999999997</v>
      </c>
      <c r="E423" s="50">
        <v>0</v>
      </c>
      <c r="F423" s="50">
        <v>0</v>
      </c>
      <c r="G423" s="52">
        <f t="shared" si="31"/>
        <v>0</v>
      </c>
      <c r="H423" s="235"/>
      <c r="I423" s="144"/>
      <c r="J423" s="144"/>
      <c r="K423" s="135"/>
      <c r="L423" s="137"/>
      <c r="M423" s="292"/>
    </row>
    <row r="424" spans="1:13" s="3" customFormat="1" ht="18.95" customHeight="1">
      <c r="A424" s="195"/>
      <c r="B424" s="140"/>
      <c r="C424" s="48" t="s">
        <v>19</v>
      </c>
      <c r="D424" s="49">
        <v>65993.3</v>
      </c>
      <c r="E424" s="50">
        <v>2399.9333299999998</v>
      </c>
      <c r="F424" s="50">
        <v>2399.9333299999998</v>
      </c>
      <c r="G424" s="52">
        <f t="shared" si="31"/>
        <v>3.6366317944397382E-2</v>
      </c>
      <c r="H424" s="235"/>
      <c r="I424" s="144"/>
      <c r="J424" s="144"/>
      <c r="K424" s="135"/>
      <c r="L424" s="137"/>
      <c r="M424" s="292"/>
    </row>
    <row r="425" spans="1:13" s="3" customFormat="1" ht="18.95" customHeight="1">
      <c r="A425" s="195"/>
      <c r="B425" s="140"/>
      <c r="C425" s="48" t="s">
        <v>21</v>
      </c>
      <c r="D425" s="49">
        <v>0</v>
      </c>
      <c r="E425" s="50">
        <v>0</v>
      </c>
      <c r="F425" s="50">
        <v>0</v>
      </c>
      <c r="G425" s="52">
        <f t="shared" si="31"/>
        <v>0</v>
      </c>
      <c r="H425" s="235"/>
      <c r="I425" s="144"/>
      <c r="J425" s="144"/>
      <c r="K425" s="135"/>
      <c r="L425" s="137"/>
      <c r="M425" s="292"/>
    </row>
    <row r="426" spans="1:13" s="3" customFormat="1" ht="18.95" customHeight="1">
      <c r="A426" s="195"/>
      <c r="B426" s="140"/>
      <c r="C426" s="48" t="s">
        <v>31</v>
      </c>
      <c r="D426" s="49">
        <v>0</v>
      </c>
      <c r="E426" s="50">
        <v>0</v>
      </c>
      <c r="F426" s="50">
        <v>0</v>
      </c>
      <c r="G426" s="52">
        <f t="shared" si="31"/>
        <v>0</v>
      </c>
      <c r="H426" s="235"/>
      <c r="I426" s="145"/>
      <c r="J426" s="145"/>
      <c r="K426" s="135"/>
      <c r="L426" s="138"/>
      <c r="M426" s="292"/>
    </row>
    <row r="427" spans="1:13" s="3" customFormat="1" ht="18.95" customHeight="1">
      <c r="A427" s="155" t="s">
        <v>311</v>
      </c>
      <c r="B427" s="160" t="s">
        <v>312</v>
      </c>
      <c r="C427" s="33" t="s">
        <v>14</v>
      </c>
      <c r="D427" s="34">
        <f>SUM(D428:D431)</f>
        <v>342974.1</v>
      </c>
      <c r="E427" s="37">
        <f>SUM(E428:E431)</f>
        <v>163919.81469999999</v>
      </c>
      <c r="F427" s="37">
        <f>SUM(F428:F431)</f>
        <v>155021</v>
      </c>
      <c r="G427" s="35">
        <f t="shared" si="31"/>
        <v>0.4519903981087785</v>
      </c>
      <c r="H427" s="239"/>
      <c r="I427" s="69" t="s">
        <v>15</v>
      </c>
      <c r="J427" s="69">
        <f>SUM(J428:J430)</f>
        <v>2</v>
      </c>
      <c r="K427" s="160" t="s">
        <v>313</v>
      </c>
      <c r="L427" s="157"/>
      <c r="M427" s="292">
        <v>805</v>
      </c>
    </row>
    <row r="428" spans="1:13" s="3" customFormat="1" ht="18.95" customHeight="1">
      <c r="A428" s="156"/>
      <c r="B428" s="161"/>
      <c r="C428" s="33" t="s">
        <v>17</v>
      </c>
      <c r="D428" s="34">
        <f>D433+D448</f>
        <v>342974.1</v>
      </c>
      <c r="E428" s="54">
        <f>E433+E448+E463</f>
        <v>163919.81469999999</v>
      </c>
      <c r="F428" s="54">
        <f>F433+F448+F463</f>
        <v>155021</v>
      </c>
      <c r="G428" s="38">
        <f t="shared" si="31"/>
        <v>0.4519903981087785</v>
      </c>
      <c r="H428" s="240"/>
      <c r="I428" s="69" t="s">
        <v>18</v>
      </c>
      <c r="J428" s="69">
        <f>COUNTIF($J$437:$J$461,"да")</f>
        <v>0</v>
      </c>
      <c r="K428" s="161"/>
      <c r="L428" s="158"/>
      <c r="M428" s="292"/>
    </row>
    <row r="429" spans="1:13" s="3" customFormat="1" ht="18.95" customHeight="1">
      <c r="A429" s="156"/>
      <c r="B429" s="161"/>
      <c r="C429" s="33" t="s">
        <v>19</v>
      </c>
      <c r="D429" s="34">
        <f>D434+D449</f>
        <v>0</v>
      </c>
      <c r="E429" s="54">
        <f t="shared" ref="E429:F431" si="32">E434+E449+E464</f>
        <v>0</v>
      </c>
      <c r="F429" s="54">
        <f t="shared" si="32"/>
        <v>0</v>
      </c>
      <c r="G429" s="38">
        <f t="shared" si="31"/>
        <v>0</v>
      </c>
      <c r="H429" s="240"/>
      <c r="I429" s="69" t="s">
        <v>20</v>
      </c>
      <c r="J429" s="69">
        <f>COUNTIF($J$437:$J$461,"частично")</f>
        <v>2</v>
      </c>
      <c r="K429" s="161"/>
      <c r="L429" s="158"/>
      <c r="M429" s="292"/>
    </row>
    <row r="430" spans="1:13" s="3" customFormat="1" ht="18.95" customHeight="1">
      <c r="A430" s="156"/>
      <c r="B430" s="161"/>
      <c r="C430" s="33" t="s">
        <v>21</v>
      </c>
      <c r="D430" s="34">
        <v>0</v>
      </c>
      <c r="E430" s="54">
        <f t="shared" si="32"/>
        <v>0</v>
      </c>
      <c r="F430" s="54">
        <f t="shared" si="32"/>
        <v>0</v>
      </c>
      <c r="G430" s="38">
        <f t="shared" si="31"/>
        <v>0</v>
      </c>
      <c r="H430" s="240"/>
      <c r="I430" s="69" t="s">
        <v>22</v>
      </c>
      <c r="J430" s="69">
        <f>COUNTIF($J$437:$J$461,"нет")</f>
        <v>0</v>
      </c>
      <c r="K430" s="161"/>
      <c r="L430" s="158"/>
      <c r="M430" s="292"/>
    </row>
    <row r="431" spans="1:13" s="3" customFormat="1" ht="18.95" customHeight="1">
      <c r="A431" s="156"/>
      <c r="B431" s="161"/>
      <c r="C431" s="33" t="s">
        <v>31</v>
      </c>
      <c r="D431" s="34">
        <f>D436+D451</f>
        <v>0</v>
      </c>
      <c r="E431" s="54">
        <f t="shared" si="32"/>
        <v>0</v>
      </c>
      <c r="F431" s="54">
        <f t="shared" si="32"/>
        <v>0</v>
      </c>
      <c r="G431" s="38">
        <f t="shared" si="31"/>
        <v>0</v>
      </c>
      <c r="H431" s="240"/>
      <c r="I431" s="69" t="s">
        <v>24</v>
      </c>
      <c r="J431" s="70">
        <f>IF(J427=0,0,(J428+J429*0.5)/J427)</f>
        <v>0.5</v>
      </c>
      <c r="K431" s="161"/>
      <c r="L431" s="159"/>
      <c r="M431" s="292"/>
    </row>
    <row r="432" spans="1:13" s="3" customFormat="1" ht="18.95" customHeight="1">
      <c r="A432" s="123" t="s">
        <v>314</v>
      </c>
      <c r="B432" s="123" t="s">
        <v>315</v>
      </c>
      <c r="C432" s="40" t="s">
        <v>14</v>
      </c>
      <c r="D432" s="41">
        <f>SUM(D433:D436)</f>
        <v>8883.7999999999993</v>
      </c>
      <c r="E432" s="42">
        <f>SUM(E433:E436)</f>
        <v>4441.8</v>
      </c>
      <c r="F432" s="42">
        <f>SUM(F433:F436)</f>
        <v>4441.8</v>
      </c>
      <c r="G432" s="43">
        <f t="shared" si="31"/>
        <v>0.49998874355568568</v>
      </c>
      <c r="H432" s="121" t="s">
        <v>316</v>
      </c>
      <c r="I432" s="65" t="s">
        <v>15</v>
      </c>
      <c r="J432" s="65">
        <v>1</v>
      </c>
      <c r="K432" s="121" t="s">
        <v>317</v>
      </c>
      <c r="L432" s="125"/>
      <c r="M432" s="292">
        <v>805</v>
      </c>
    </row>
    <row r="433" spans="1:13" s="3" customFormat="1" ht="18.95" customHeight="1">
      <c r="A433" s="124"/>
      <c r="B433" s="124"/>
      <c r="C433" s="40" t="s">
        <v>17</v>
      </c>
      <c r="D433" s="41">
        <f>D438+D443</f>
        <v>8883.7999999999993</v>
      </c>
      <c r="E433" s="47">
        <f>E438+E443</f>
        <v>4441.8</v>
      </c>
      <c r="F433" s="47">
        <f>F438+F443</f>
        <v>4441.8</v>
      </c>
      <c r="G433" s="45">
        <f t="shared" si="31"/>
        <v>0.49998874355568568</v>
      </c>
      <c r="H433" s="122"/>
      <c r="I433" s="65" t="s">
        <v>18</v>
      </c>
      <c r="J433" s="65">
        <v>0</v>
      </c>
      <c r="K433" s="122"/>
      <c r="L433" s="126"/>
      <c r="M433" s="292"/>
    </row>
    <row r="434" spans="1:13" s="3" customFormat="1" ht="18.95" customHeight="1">
      <c r="A434" s="124"/>
      <c r="B434" s="124"/>
      <c r="C434" s="40" t="s">
        <v>19</v>
      </c>
      <c r="D434" s="41">
        <f>D439+D444</f>
        <v>0</v>
      </c>
      <c r="E434" s="47">
        <f t="shared" ref="E434:F436" si="33">E439+E444</f>
        <v>0</v>
      </c>
      <c r="F434" s="47">
        <f t="shared" si="33"/>
        <v>0</v>
      </c>
      <c r="G434" s="45">
        <f t="shared" si="31"/>
        <v>0</v>
      </c>
      <c r="H434" s="122"/>
      <c r="I434" s="65" t="s">
        <v>20</v>
      </c>
      <c r="J434" s="65">
        <v>1</v>
      </c>
      <c r="K434" s="122"/>
      <c r="L434" s="126"/>
      <c r="M434" s="292"/>
    </row>
    <row r="435" spans="1:13" s="3" customFormat="1" ht="18.95" customHeight="1">
      <c r="A435" s="124"/>
      <c r="B435" s="124"/>
      <c r="C435" s="40" t="s">
        <v>21</v>
      </c>
      <c r="D435" s="41">
        <v>0</v>
      </c>
      <c r="E435" s="47">
        <f t="shared" si="33"/>
        <v>0</v>
      </c>
      <c r="F435" s="47">
        <f t="shared" si="33"/>
        <v>0</v>
      </c>
      <c r="G435" s="45">
        <f t="shared" si="31"/>
        <v>0</v>
      </c>
      <c r="H435" s="122"/>
      <c r="I435" s="65" t="s">
        <v>22</v>
      </c>
      <c r="J435" s="65">
        <v>0</v>
      </c>
      <c r="K435" s="122"/>
      <c r="L435" s="126"/>
      <c r="M435" s="292"/>
    </row>
    <row r="436" spans="1:13" s="3" customFormat="1" ht="18.95" customHeight="1">
      <c r="A436" s="124"/>
      <c r="B436" s="124"/>
      <c r="C436" s="40" t="s">
        <v>31</v>
      </c>
      <c r="D436" s="41">
        <f>D441+D446</f>
        <v>0</v>
      </c>
      <c r="E436" s="47">
        <f t="shared" si="33"/>
        <v>0</v>
      </c>
      <c r="F436" s="47">
        <f t="shared" si="33"/>
        <v>0</v>
      </c>
      <c r="G436" s="45">
        <f t="shared" si="31"/>
        <v>0</v>
      </c>
      <c r="H436" s="122"/>
      <c r="I436" s="65" t="s">
        <v>24</v>
      </c>
      <c r="J436" s="66">
        <f>IF(J432=0,0,(J433+J434*0.5)/J432)</f>
        <v>0.5</v>
      </c>
      <c r="K436" s="122"/>
      <c r="L436" s="127"/>
      <c r="M436" s="292"/>
    </row>
    <row r="437" spans="1:13" s="3" customFormat="1" ht="18.95" customHeight="1">
      <c r="A437" s="107" t="s">
        <v>318</v>
      </c>
      <c r="B437" s="107" t="s">
        <v>37</v>
      </c>
      <c r="C437" s="27" t="s">
        <v>14</v>
      </c>
      <c r="D437" s="28">
        <f>SUM(D438:D441)</f>
        <v>8883.7999999999993</v>
      </c>
      <c r="E437" s="30">
        <f>SUM(E438:E441)</f>
        <v>4441.8</v>
      </c>
      <c r="F437" s="30">
        <f>SUM(F438:F441)</f>
        <v>4441.8</v>
      </c>
      <c r="G437" s="29">
        <f t="shared" ref="G437:G469" si="34">IF(D437&lt;&gt;0,F437/D437,0)</f>
        <v>0.49998874355568568</v>
      </c>
      <c r="H437" s="109" t="s">
        <v>319</v>
      </c>
      <c r="I437" s="111" t="s">
        <v>778</v>
      </c>
      <c r="J437" s="111" t="s">
        <v>701</v>
      </c>
      <c r="K437" s="109" t="s">
        <v>247</v>
      </c>
      <c r="L437" s="104" t="s">
        <v>717</v>
      </c>
      <c r="M437" s="292">
        <v>805</v>
      </c>
    </row>
    <row r="438" spans="1:13" s="3" customFormat="1" ht="18.95" customHeight="1">
      <c r="A438" s="108"/>
      <c r="B438" s="108"/>
      <c r="C438" s="27" t="s">
        <v>17</v>
      </c>
      <c r="D438" s="28">
        <v>8883.7999999999993</v>
      </c>
      <c r="E438" s="30">
        <v>4441.8</v>
      </c>
      <c r="F438" s="30">
        <v>4441.8</v>
      </c>
      <c r="G438" s="31">
        <f t="shared" si="34"/>
        <v>0.49998874355568568</v>
      </c>
      <c r="H438" s="110"/>
      <c r="I438" s="112"/>
      <c r="J438" s="112"/>
      <c r="K438" s="110"/>
      <c r="L438" s="105"/>
      <c r="M438" s="292"/>
    </row>
    <row r="439" spans="1:13" s="3" customFormat="1" ht="18.95" customHeight="1">
      <c r="A439" s="108"/>
      <c r="B439" s="108"/>
      <c r="C439" s="27" t="s">
        <v>19</v>
      </c>
      <c r="D439" s="28">
        <v>0</v>
      </c>
      <c r="E439" s="30">
        <v>0</v>
      </c>
      <c r="F439" s="30">
        <v>0</v>
      </c>
      <c r="G439" s="31">
        <f t="shared" si="34"/>
        <v>0</v>
      </c>
      <c r="H439" s="110"/>
      <c r="I439" s="112"/>
      <c r="J439" s="112"/>
      <c r="K439" s="110"/>
      <c r="L439" s="105"/>
      <c r="M439" s="292"/>
    </row>
    <row r="440" spans="1:13" s="3" customFormat="1" ht="18.95" customHeight="1">
      <c r="A440" s="108"/>
      <c r="B440" s="108"/>
      <c r="C440" s="27" t="s">
        <v>21</v>
      </c>
      <c r="D440" s="28">
        <v>0</v>
      </c>
      <c r="E440" s="30">
        <v>0</v>
      </c>
      <c r="F440" s="30">
        <v>0</v>
      </c>
      <c r="G440" s="31">
        <f t="shared" si="34"/>
        <v>0</v>
      </c>
      <c r="H440" s="110"/>
      <c r="I440" s="112"/>
      <c r="J440" s="112"/>
      <c r="K440" s="110"/>
      <c r="L440" s="105"/>
      <c r="M440" s="292"/>
    </row>
    <row r="441" spans="1:13" s="3" customFormat="1" ht="18.95" customHeight="1">
      <c r="A441" s="108"/>
      <c r="B441" s="108"/>
      <c r="C441" s="27" t="s">
        <v>31</v>
      </c>
      <c r="D441" s="28">
        <v>0</v>
      </c>
      <c r="E441" s="30">
        <v>0</v>
      </c>
      <c r="F441" s="30">
        <v>0</v>
      </c>
      <c r="G441" s="31">
        <f t="shared" si="34"/>
        <v>0</v>
      </c>
      <c r="H441" s="110"/>
      <c r="I441" s="113"/>
      <c r="J441" s="113"/>
      <c r="K441" s="110"/>
      <c r="L441" s="106"/>
      <c r="M441" s="292"/>
    </row>
    <row r="442" spans="1:13" s="3" customFormat="1" ht="18.95" hidden="1" customHeight="1">
      <c r="A442" s="107" t="s">
        <v>320</v>
      </c>
      <c r="B442" s="107" t="s">
        <v>321</v>
      </c>
      <c r="C442" s="27" t="s">
        <v>14</v>
      </c>
      <c r="D442" s="28">
        <f>SUM(D443:D446)</f>
        <v>0</v>
      </c>
      <c r="E442" s="30">
        <f>SUM(E443:E446)</f>
        <v>0</v>
      </c>
      <c r="F442" s="30">
        <f>SUM(F443:F446)</f>
        <v>0</v>
      </c>
      <c r="G442" s="29">
        <f t="shared" si="34"/>
        <v>0</v>
      </c>
      <c r="H442" s="109" t="s">
        <v>322</v>
      </c>
      <c r="I442" s="111"/>
      <c r="J442" s="111"/>
      <c r="K442" s="109" t="s">
        <v>243</v>
      </c>
      <c r="L442" s="104"/>
      <c r="M442" s="1"/>
    </row>
    <row r="443" spans="1:13" s="3" customFormat="1" ht="18.95" hidden="1" customHeight="1">
      <c r="A443" s="108"/>
      <c r="B443" s="108"/>
      <c r="C443" s="27" t="s">
        <v>17</v>
      </c>
      <c r="D443" s="28">
        <v>0</v>
      </c>
      <c r="E443" s="30">
        <v>0</v>
      </c>
      <c r="F443" s="30">
        <v>0</v>
      </c>
      <c r="G443" s="31">
        <f t="shared" si="34"/>
        <v>0</v>
      </c>
      <c r="H443" s="110"/>
      <c r="I443" s="112"/>
      <c r="J443" s="112"/>
      <c r="K443" s="110"/>
      <c r="L443" s="105"/>
      <c r="M443" s="1"/>
    </row>
    <row r="444" spans="1:13" s="3" customFormat="1" ht="18.95" hidden="1" customHeight="1">
      <c r="A444" s="108"/>
      <c r="B444" s="108"/>
      <c r="C444" s="27" t="s">
        <v>19</v>
      </c>
      <c r="D444" s="28">
        <v>0</v>
      </c>
      <c r="E444" s="30">
        <v>0</v>
      </c>
      <c r="F444" s="30">
        <v>0</v>
      </c>
      <c r="G444" s="31">
        <f t="shared" si="34"/>
        <v>0</v>
      </c>
      <c r="H444" s="110"/>
      <c r="I444" s="112"/>
      <c r="J444" s="112"/>
      <c r="K444" s="110"/>
      <c r="L444" s="105"/>
      <c r="M444" s="1"/>
    </row>
    <row r="445" spans="1:13" s="3" customFormat="1" ht="18.95" hidden="1" customHeight="1">
      <c r="A445" s="108"/>
      <c r="B445" s="108"/>
      <c r="C445" s="27" t="s">
        <v>21</v>
      </c>
      <c r="D445" s="28">
        <v>0</v>
      </c>
      <c r="E445" s="30">
        <v>0</v>
      </c>
      <c r="F445" s="30">
        <v>0</v>
      </c>
      <c r="G445" s="31">
        <f t="shared" si="34"/>
        <v>0</v>
      </c>
      <c r="H445" s="110"/>
      <c r="I445" s="112"/>
      <c r="J445" s="112"/>
      <c r="K445" s="110"/>
      <c r="L445" s="105"/>
      <c r="M445" s="1"/>
    </row>
    <row r="446" spans="1:13" s="3" customFormat="1" ht="18.95" hidden="1" customHeight="1">
      <c r="A446" s="108"/>
      <c r="B446" s="108"/>
      <c r="C446" s="27" t="s">
        <v>31</v>
      </c>
      <c r="D446" s="28">
        <v>0</v>
      </c>
      <c r="E446" s="30">
        <v>0</v>
      </c>
      <c r="F446" s="30">
        <v>0</v>
      </c>
      <c r="G446" s="31">
        <f t="shared" si="34"/>
        <v>0</v>
      </c>
      <c r="H446" s="110"/>
      <c r="I446" s="113"/>
      <c r="J446" s="113"/>
      <c r="K446" s="110"/>
      <c r="L446" s="106"/>
      <c r="M446" s="1"/>
    </row>
    <row r="447" spans="1:13" s="3" customFormat="1" ht="18.95" customHeight="1">
      <c r="A447" s="123" t="s">
        <v>323</v>
      </c>
      <c r="B447" s="123" t="s">
        <v>324</v>
      </c>
      <c r="C447" s="40" t="s">
        <v>14</v>
      </c>
      <c r="D447" s="41">
        <f>SUM(D448:D451)</f>
        <v>334090.3</v>
      </c>
      <c r="E447" s="42">
        <f>SUM(E448:E451)</f>
        <v>159478.0147</v>
      </c>
      <c r="F447" s="42">
        <f>SUM(F448:F451)</f>
        <v>150579.20000000001</v>
      </c>
      <c r="G447" s="43">
        <f>IF(D447&lt;&gt;0,F447/D447,0)</f>
        <v>0.4507140734106917</v>
      </c>
      <c r="H447" s="121" t="s">
        <v>325</v>
      </c>
      <c r="I447" s="65" t="s">
        <v>15</v>
      </c>
      <c r="J447" s="65">
        <v>1</v>
      </c>
      <c r="K447" s="121" t="s">
        <v>326</v>
      </c>
      <c r="L447" s="125"/>
      <c r="M447" s="292">
        <v>805</v>
      </c>
    </row>
    <row r="448" spans="1:13" s="3" customFormat="1" ht="18.95" customHeight="1">
      <c r="A448" s="124"/>
      <c r="B448" s="124"/>
      <c r="C448" s="40" t="s">
        <v>17</v>
      </c>
      <c r="D448" s="41">
        <f>SUM(D458,D453)</f>
        <v>334090.3</v>
      </c>
      <c r="E448" s="47">
        <f>E453+E458</f>
        <v>159478.0147</v>
      </c>
      <c r="F448" s="47">
        <f>F453+F458</f>
        <v>150579.20000000001</v>
      </c>
      <c r="G448" s="45">
        <f>IF(D448&lt;&gt;0,F448/D448,0)</f>
        <v>0.4507140734106917</v>
      </c>
      <c r="H448" s="122"/>
      <c r="I448" s="65" t="s">
        <v>18</v>
      </c>
      <c r="J448" s="65">
        <v>0</v>
      </c>
      <c r="K448" s="122"/>
      <c r="L448" s="126"/>
      <c r="M448" s="292"/>
    </row>
    <row r="449" spans="1:13" s="3" customFormat="1" ht="18.95" customHeight="1">
      <c r="A449" s="124"/>
      <c r="B449" s="124"/>
      <c r="C449" s="40" t="s">
        <v>19</v>
      </c>
      <c r="D449" s="41">
        <f>SUM(D459,D454)</f>
        <v>0</v>
      </c>
      <c r="E449" s="47">
        <f t="shared" ref="E449:F451" si="35">E454+E459</f>
        <v>0</v>
      </c>
      <c r="F449" s="47">
        <f t="shared" si="35"/>
        <v>0</v>
      </c>
      <c r="G449" s="45">
        <f>IF(D449&lt;&gt;0,F449/D449,0)</f>
        <v>0</v>
      </c>
      <c r="H449" s="122"/>
      <c r="I449" s="65" t="s">
        <v>20</v>
      </c>
      <c r="J449" s="65">
        <v>1</v>
      </c>
      <c r="K449" s="122"/>
      <c r="L449" s="126"/>
      <c r="M449" s="292"/>
    </row>
    <row r="450" spans="1:13" s="3" customFormat="1" ht="18.95" customHeight="1">
      <c r="A450" s="124"/>
      <c r="B450" s="124"/>
      <c r="C450" s="40" t="s">
        <v>21</v>
      </c>
      <c r="D450" s="41">
        <v>0</v>
      </c>
      <c r="E450" s="47">
        <f t="shared" si="35"/>
        <v>0</v>
      </c>
      <c r="F450" s="47">
        <f t="shared" si="35"/>
        <v>0</v>
      </c>
      <c r="G450" s="45">
        <f>IF(D450&lt;&gt;0,F450/D450,0)</f>
        <v>0</v>
      </c>
      <c r="H450" s="122"/>
      <c r="I450" s="65" t="s">
        <v>22</v>
      </c>
      <c r="J450" s="65">
        <v>0</v>
      </c>
      <c r="K450" s="122"/>
      <c r="L450" s="126"/>
      <c r="M450" s="292"/>
    </row>
    <row r="451" spans="1:13" s="3" customFormat="1" ht="18.95" customHeight="1">
      <c r="A451" s="124"/>
      <c r="B451" s="124"/>
      <c r="C451" s="40" t="s">
        <v>31</v>
      </c>
      <c r="D451" s="41">
        <f>SUM(D461,D456)</f>
        <v>0</v>
      </c>
      <c r="E451" s="47">
        <f t="shared" si="35"/>
        <v>0</v>
      </c>
      <c r="F451" s="47">
        <f t="shared" si="35"/>
        <v>0</v>
      </c>
      <c r="G451" s="45">
        <f>IF(D451&lt;&gt;0,F451/D451,0)</f>
        <v>0</v>
      </c>
      <c r="H451" s="122"/>
      <c r="I451" s="65" t="s">
        <v>24</v>
      </c>
      <c r="J451" s="66">
        <f>IF(J447=0,0,(J448+J449*0.5)/J447)</f>
        <v>0.5</v>
      </c>
      <c r="K451" s="122"/>
      <c r="L451" s="127"/>
      <c r="M451" s="292"/>
    </row>
    <row r="452" spans="1:13" s="3" customFormat="1" ht="18.95" hidden="1" customHeight="1">
      <c r="A452" s="107" t="s">
        <v>327</v>
      </c>
      <c r="B452" s="107" t="s">
        <v>328</v>
      </c>
      <c r="C452" s="27" t="s">
        <v>14</v>
      </c>
      <c r="D452" s="28">
        <f>SUM(D453:D456)</f>
        <v>0</v>
      </c>
      <c r="E452" s="30">
        <f>SUM(E453:E456)</f>
        <v>0</v>
      </c>
      <c r="F452" s="30">
        <f>SUM(F453:F456)</f>
        <v>0</v>
      </c>
      <c r="G452" s="29">
        <f t="shared" si="34"/>
        <v>0</v>
      </c>
      <c r="H452" s="109" t="s">
        <v>329</v>
      </c>
      <c r="I452" s="111"/>
      <c r="J452" s="111"/>
      <c r="K452" s="109" t="s">
        <v>326</v>
      </c>
      <c r="L452" s="104"/>
      <c r="M452" s="1"/>
    </row>
    <row r="453" spans="1:13" s="3" customFormat="1" ht="18.95" hidden="1" customHeight="1">
      <c r="A453" s="108"/>
      <c r="B453" s="108"/>
      <c r="C453" s="27" t="s">
        <v>17</v>
      </c>
      <c r="D453" s="32">
        <v>0</v>
      </c>
      <c r="E453" s="30">
        <v>0</v>
      </c>
      <c r="F453" s="30">
        <v>0</v>
      </c>
      <c r="G453" s="31">
        <f t="shared" si="34"/>
        <v>0</v>
      </c>
      <c r="H453" s="110"/>
      <c r="I453" s="112"/>
      <c r="J453" s="112"/>
      <c r="K453" s="110"/>
      <c r="L453" s="105"/>
      <c r="M453" s="1"/>
    </row>
    <row r="454" spans="1:13" s="3" customFormat="1" ht="18.95" hidden="1" customHeight="1">
      <c r="A454" s="108"/>
      <c r="B454" s="108"/>
      <c r="C454" s="27" t="s">
        <v>19</v>
      </c>
      <c r="D454" s="28">
        <v>0</v>
      </c>
      <c r="E454" s="30">
        <v>0</v>
      </c>
      <c r="F454" s="30">
        <v>0</v>
      </c>
      <c r="G454" s="31">
        <f t="shared" si="34"/>
        <v>0</v>
      </c>
      <c r="H454" s="110"/>
      <c r="I454" s="112"/>
      <c r="J454" s="112"/>
      <c r="K454" s="110"/>
      <c r="L454" s="105"/>
      <c r="M454" s="1"/>
    </row>
    <row r="455" spans="1:13" s="3" customFormat="1" ht="18.95" hidden="1" customHeight="1">
      <c r="A455" s="108"/>
      <c r="B455" s="108"/>
      <c r="C455" s="27" t="s">
        <v>21</v>
      </c>
      <c r="D455" s="28">
        <v>0</v>
      </c>
      <c r="E455" s="30">
        <v>0</v>
      </c>
      <c r="F455" s="30">
        <v>0</v>
      </c>
      <c r="G455" s="31">
        <f t="shared" si="34"/>
        <v>0</v>
      </c>
      <c r="H455" s="110"/>
      <c r="I455" s="112"/>
      <c r="J455" s="112"/>
      <c r="K455" s="110"/>
      <c r="L455" s="105"/>
      <c r="M455" s="1"/>
    </row>
    <row r="456" spans="1:13" s="3" customFormat="1" ht="18.95" hidden="1" customHeight="1">
      <c r="A456" s="108"/>
      <c r="B456" s="108"/>
      <c r="C456" s="27" t="s">
        <v>31</v>
      </c>
      <c r="D456" s="28">
        <v>0</v>
      </c>
      <c r="E456" s="30">
        <v>0</v>
      </c>
      <c r="F456" s="30">
        <v>0</v>
      </c>
      <c r="G456" s="31">
        <f t="shared" si="34"/>
        <v>0</v>
      </c>
      <c r="H456" s="110"/>
      <c r="I456" s="113"/>
      <c r="J456" s="113"/>
      <c r="K456" s="110"/>
      <c r="L456" s="106"/>
      <c r="M456" s="1"/>
    </row>
    <row r="457" spans="1:13" s="3" customFormat="1" ht="18.95" customHeight="1">
      <c r="A457" s="107" t="s">
        <v>330</v>
      </c>
      <c r="B457" s="107" t="s">
        <v>37</v>
      </c>
      <c r="C457" s="27" t="s">
        <v>14</v>
      </c>
      <c r="D457" s="28">
        <f>SUM(D458:D461)</f>
        <v>334090.3</v>
      </c>
      <c r="E457" s="30">
        <f>SUM(E458:E461)</f>
        <v>159478.0147</v>
      </c>
      <c r="F457" s="30">
        <f>SUM(F458:F461)</f>
        <v>150579.20000000001</v>
      </c>
      <c r="G457" s="29">
        <f>IF(D457&lt;&gt;0,F457/D457,0)</f>
        <v>0.4507140734106917</v>
      </c>
      <c r="H457" s="109" t="s">
        <v>331</v>
      </c>
      <c r="I457" s="111" t="s">
        <v>830</v>
      </c>
      <c r="J457" s="111" t="s">
        <v>701</v>
      </c>
      <c r="K457" s="109" t="s">
        <v>332</v>
      </c>
      <c r="L457" s="236" t="s">
        <v>717</v>
      </c>
      <c r="M457" s="293">
        <v>805</v>
      </c>
    </row>
    <row r="458" spans="1:13" s="3" customFormat="1" ht="18.95" customHeight="1">
      <c r="A458" s="108"/>
      <c r="B458" s="108"/>
      <c r="C458" s="27" t="s">
        <v>17</v>
      </c>
      <c r="D458" s="28">
        <f>334090.3</f>
        <v>334090.3</v>
      </c>
      <c r="E458" s="30">
        <v>159478.0147</v>
      </c>
      <c r="F458" s="30">
        <v>150579.20000000001</v>
      </c>
      <c r="G458" s="31">
        <f>IF(D458&lt;&gt;0,F458/D458,0)</f>
        <v>0.4507140734106917</v>
      </c>
      <c r="H458" s="110"/>
      <c r="I458" s="112"/>
      <c r="J458" s="112"/>
      <c r="K458" s="110"/>
      <c r="L458" s="237"/>
      <c r="M458" s="293"/>
    </row>
    <row r="459" spans="1:13" s="3" customFormat="1" ht="18.95" customHeight="1">
      <c r="A459" s="108"/>
      <c r="B459" s="108"/>
      <c r="C459" s="27" t="s">
        <v>19</v>
      </c>
      <c r="D459" s="28">
        <v>0</v>
      </c>
      <c r="E459" s="30">
        <v>0</v>
      </c>
      <c r="F459" s="30">
        <v>0</v>
      </c>
      <c r="G459" s="31">
        <f>IF(D459&lt;&gt;0,F459/D459,0)</f>
        <v>0</v>
      </c>
      <c r="H459" s="110"/>
      <c r="I459" s="112"/>
      <c r="J459" s="112"/>
      <c r="K459" s="110"/>
      <c r="L459" s="237"/>
      <c r="M459" s="293"/>
    </row>
    <row r="460" spans="1:13" s="3" customFormat="1" ht="18.95" customHeight="1">
      <c r="A460" s="108"/>
      <c r="B460" s="108"/>
      <c r="C460" s="27" t="s">
        <v>21</v>
      </c>
      <c r="D460" s="28">
        <v>0</v>
      </c>
      <c r="E460" s="30">
        <v>0</v>
      </c>
      <c r="F460" s="30">
        <v>0</v>
      </c>
      <c r="G460" s="31">
        <f>IF(D460&lt;&gt;0,F460/D460,0)</f>
        <v>0</v>
      </c>
      <c r="H460" s="110"/>
      <c r="I460" s="112"/>
      <c r="J460" s="112"/>
      <c r="K460" s="110"/>
      <c r="L460" s="237"/>
      <c r="M460" s="293"/>
    </row>
    <row r="461" spans="1:13" s="3" customFormat="1" ht="18.95" customHeight="1">
      <c r="A461" s="108"/>
      <c r="B461" s="108"/>
      <c r="C461" s="27" t="s">
        <v>31</v>
      </c>
      <c r="D461" s="28">
        <v>0</v>
      </c>
      <c r="E461" s="30">
        <v>0</v>
      </c>
      <c r="F461" s="30">
        <v>0</v>
      </c>
      <c r="G461" s="31">
        <f>IF(D461&lt;&gt;0,F461/D461,0)</f>
        <v>0</v>
      </c>
      <c r="H461" s="110"/>
      <c r="I461" s="113"/>
      <c r="J461" s="113"/>
      <c r="K461" s="110"/>
      <c r="L461" s="238"/>
      <c r="M461" s="293"/>
    </row>
    <row r="462" spans="1:13" s="3" customFormat="1" ht="18.95" hidden="1" customHeight="1">
      <c r="A462" s="194" t="s">
        <v>333</v>
      </c>
      <c r="B462" s="139" t="s">
        <v>334</v>
      </c>
      <c r="C462" s="48" t="s">
        <v>14</v>
      </c>
      <c r="D462" s="49">
        <f>SUM(D463:D466)</f>
        <v>0</v>
      </c>
      <c r="E462" s="50">
        <f>SUM(E463:E466)</f>
        <v>0</v>
      </c>
      <c r="F462" s="50">
        <f>SUM(F463:F466)</f>
        <v>0</v>
      </c>
      <c r="G462" s="51">
        <f t="shared" si="34"/>
        <v>0</v>
      </c>
      <c r="H462" s="134" t="s">
        <v>335</v>
      </c>
      <c r="I462" s="67" t="s">
        <v>15</v>
      </c>
      <c r="J462" s="67"/>
      <c r="K462" s="134" t="s">
        <v>118</v>
      </c>
      <c r="L462" s="136"/>
      <c r="M462" s="1"/>
    </row>
    <row r="463" spans="1:13" s="3" customFormat="1" ht="18.95" hidden="1" customHeight="1">
      <c r="A463" s="195"/>
      <c r="B463" s="140"/>
      <c r="C463" s="48" t="s">
        <v>17</v>
      </c>
      <c r="D463" s="49">
        <v>0</v>
      </c>
      <c r="E463" s="50">
        <v>0</v>
      </c>
      <c r="F463" s="50">
        <v>0</v>
      </c>
      <c r="G463" s="52">
        <f t="shared" si="34"/>
        <v>0</v>
      </c>
      <c r="H463" s="135"/>
      <c r="I463" s="67" t="s">
        <v>18</v>
      </c>
      <c r="J463" s="67"/>
      <c r="K463" s="135"/>
      <c r="L463" s="137"/>
      <c r="M463" s="1"/>
    </row>
    <row r="464" spans="1:13" s="3" customFormat="1" ht="18.95" hidden="1" customHeight="1">
      <c r="A464" s="195"/>
      <c r="B464" s="140"/>
      <c r="C464" s="48" t="s">
        <v>19</v>
      </c>
      <c r="D464" s="49">
        <v>0</v>
      </c>
      <c r="E464" s="50">
        <v>0</v>
      </c>
      <c r="F464" s="50">
        <v>0</v>
      </c>
      <c r="G464" s="52">
        <f t="shared" si="34"/>
        <v>0</v>
      </c>
      <c r="H464" s="135"/>
      <c r="I464" s="67" t="s">
        <v>20</v>
      </c>
      <c r="J464" s="67"/>
      <c r="K464" s="135"/>
      <c r="L464" s="137"/>
      <c r="M464" s="1"/>
    </row>
    <row r="465" spans="1:13" s="3" customFormat="1" ht="18.95" hidden="1" customHeight="1">
      <c r="A465" s="195"/>
      <c r="B465" s="140"/>
      <c r="C465" s="48" t="s">
        <v>21</v>
      </c>
      <c r="D465" s="49">
        <v>0</v>
      </c>
      <c r="E465" s="50">
        <v>0</v>
      </c>
      <c r="F465" s="50">
        <v>0</v>
      </c>
      <c r="G465" s="52">
        <f t="shared" si="34"/>
        <v>0</v>
      </c>
      <c r="H465" s="135"/>
      <c r="I465" s="67" t="s">
        <v>22</v>
      </c>
      <c r="J465" s="67"/>
      <c r="K465" s="135"/>
      <c r="L465" s="137"/>
      <c r="M465" s="1"/>
    </row>
    <row r="466" spans="1:13" s="3" customFormat="1" ht="18.95" hidden="1" customHeight="1">
      <c r="A466" s="195"/>
      <c r="B466" s="140"/>
      <c r="C466" s="48" t="s">
        <v>31</v>
      </c>
      <c r="D466" s="49">
        <v>0</v>
      </c>
      <c r="E466" s="50">
        <v>0</v>
      </c>
      <c r="F466" s="50">
        <v>0</v>
      </c>
      <c r="G466" s="52">
        <f t="shared" si="34"/>
        <v>0</v>
      </c>
      <c r="H466" s="135"/>
      <c r="I466" s="67" t="s">
        <v>24</v>
      </c>
      <c r="J466" s="68">
        <f>IF(J462=0,0,(J463+J464*0.5)/J462)</f>
        <v>0</v>
      </c>
      <c r="K466" s="135"/>
      <c r="L466" s="138"/>
      <c r="M466" s="1"/>
    </row>
    <row r="467" spans="1:13" s="3" customFormat="1" ht="18.95" customHeight="1">
      <c r="A467" s="55"/>
      <c r="B467" s="160" t="s">
        <v>336</v>
      </c>
      <c r="C467" s="33" t="s">
        <v>14</v>
      </c>
      <c r="D467" s="34">
        <f>SUM(D468:D471)</f>
        <v>5790005.9000000004</v>
      </c>
      <c r="E467" s="37">
        <f>SUM(E468:E471)</f>
        <v>1208750.0255999998</v>
      </c>
      <c r="F467" s="37">
        <f>SUM(F468:F471)</f>
        <v>1113051.3581699999</v>
      </c>
      <c r="G467" s="35">
        <f t="shared" si="34"/>
        <v>0.19223665353605249</v>
      </c>
      <c r="H467" s="160"/>
      <c r="I467" s="36" t="s">
        <v>15</v>
      </c>
      <c r="J467" s="36">
        <f>SUM(J468:J470)</f>
        <v>21</v>
      </c>
      <c r="K467" s="160" t="s">
        <v>337</v>
      </c>
      <c r="L467" s="227"/>
      <c r="M467" s="292">
        <v>805</v>
      </c>
    </row>
    <row r="468" spans="1:13" s="3" customFormat="1" ht="18.95" customHeight="1">
      <c r="A468" s="56"/>
      <c r="B468" s="161"/>
      <c r="C468" s="33" t="s">
        <v>17</v>
      </c>
      <c r="D468" s="34">
        <f>SUM(D473,D598,D533,D578,D608)</f>
        <v>4719172.7</v>
      </c>
      <c r="E468" s="37">
        <f t="shared" ref="E468:F471" si="36">E473+E533+E578+E598+E608</f>
        <v>709468.79391999997</v>
      </c>
      <c r="F468" s="37">
        <f t="shared" si="36"/>
        <v>632570.86968999996</v>
      </c>
      <c r="G468" s="38">
        <f t="shared" si="34"/>
        <v>0.13404274645214825</v>
      </c>
      <c r="H468" s="161"/>
      <c r="I468" s="36" t="s">
        <v>18</v>
      </c>
      <c r="J468" s="103">
        <f>COUNTIF($J$477:$J$646,"да")</f>
        <v>1</v>
      </c>
      <c r="K468" s="161"/>
      <c r="L468" s="228"/>
      <c r="M468" s="292"/>
    </row>
    <row r="469" spans="1:13" s="3" customFormat="1" ht="18.95" customHeight="1">
      <c r="A469" s="56" t="s">
        <v>338</v>
      </c>
      <c r="B469" s="161"/>
      <c r="C469" s="33" t="s">
        <v>19</v>
      </c>
      <c r="D469" s="34">
        <f>SUM(D474,D599,D534,D579,D609)</f>
        <v>1070833.1999999997</v>
      </c>
      <c r="E469" s="37">
        <f t="shared" si="36"/>
        <v>499281.23167999997</v>
      </c>
      <c r="F469" s="37">
        <f t="shared" si="36"/>
        <v>480480.48848000006</v>
      </c>
      <c r="G469" s="38">
        <f t="shared" si="34"/>
        <v>0.44869778830167029</v>
      </c>
      <c r="H469" s="161"/>
      <c r="I469" s="36" t="s">
        <v>20</v>
      </c>
      <c r="J469" s="103">
        <f>COUNTIF($J$477:$J$646,"частично")</f>
        <v>3</v>
      </c>
      <c r="K469" s="161"/>
      <c r="L469" s="228"/>
      <c r="M469" s="292"/>
    </row>
    <row r="470" spans="1:13" s="3" customFormat="1" ht="18.95" customHeight="1">
      <c r="A470" s="56"/>
      <c r="B470" s="161"/>
      <c r="C470" s="33" t="s">
        <v>21</v>
      </c>
      <c r="D470" s="34">
        <v>0</v>
      </c>
      <c r="E470" s="37">
        <f t="shared" si="36"/>
        <v>0</v>
      </c>
      <c r="F470" s="37">
        <f t="shared" si="36"/>
        <v>0</v>
      </c>
      <c r="G470" s="38">
        <f t="shared" ref="G470:G528" si="37">IF(D470&lt;&gt;0,F470/D470,0)</f>
        <v>0</v>
      </c>
      <c r="H470" s="161"/>
      <c r="I470" s="36" t="s">
        <v>22</v>
      </c>
      <c r="J470" s="103">
        <f>COUNTIF($J$477:$J$646,"нет")</f>
        <v>17</v>
      </c>
      <c r="K470" s="161"/>
      <c r="L470" s="228"/>
      <c r="M470" s="292"/>
    </row>
    <row r="471" spans="1:13" s="3" customFormat="1" ht="18.95" customHeight="1">
      <c r="A471" s="56"/>
      <c r="B471" s="161"/>
      <c r="C471" s="33" t="s">
        <v>31</v>
      </c>
      <c r="D471" s="34">
        <f>SUM(D476,D601,D536,D581,D611)</f>
        <v>0</v>
      </c>
      <c r="E471" s="37">
        <f t="shared" si="36"/>
        <v>0</v>
      </c>
      <c r="F471" s="37">
        <f t="shared" si="36"/>
        <v>0</v>
      </c>
      <c r="G471" s="38">
        <f t="shared" si="37"/>
        <v>0</v>
      </c>
      <c r="H471" s="161"/>
      <c r="I471" s="36" t="s">
        <v>24</v>
      </c>
      <c r="J471" s="39">
        <f>IF(J467=0,0,(J468+J469*0.5)/J467)</f>
        <v>0.11904761904761904</v>
      </c>
      <c r="K471" s="161"/>
      <c r="L471" s="229"/>
      <c r="M471" s="292"/>
    </row>
    <row r="472" spans="1:13" s="3" customFormat="1" ht="18.95" customHeight="1">
      <c r="A472" s="123" t="s">
        <v>339</v>
      </c>
      <c r="B472" s="121" t="s">
        <v>340</v>
      </c>
      <c r="C472" s="40" t="s">
        <v>14</v>
      </c>
      <c r="D472" s="41">
        <f>SUM(D473:D476)</f>
        <v>3146845.5000000005</v>
      </c>
      <c r="E472" s="42">
        <f>SUM(E473:E476)</f>
        <v>450860.34436999995</v>
      </c>
      <c r="F472" s="42">
        <f>SUM(F473:F476)</f>
        <v>392302.66104999994</v>
      </c>
      <c r="G472" s="43">
        <f t="shared" si="37"/>
        <v>0.12466537078162875</v>
      </c>
      <c r="H472" s="121" t="s">
        <v>341</v>
      </c>
      <c r="I472" s="65" t="s">
        <v>15</v>
      </c>
      <c r="J472" s="65">
        <f>SUM(J473:J475)</f>
        <v>8</v>
      </c>
      <c r="K472" s="121" t="s">
        <v>342</v>
      </c>
      <c r="L472" s="125"/>
      <c r="M472" s="292">
        <v>805</v>
      </c>
    </row>
    <row r="473" spans="1:13" s="3" customFormat="1" ht="18.95" customHeight="1">
      <c r="A473" s="124"/>
      <c r="B473" s="122"/>
      <c r="C473" s="40" t="s">
        <v>17</v>
      </c>
      <c r="D473" s="41">
        <f>SUM(D488,D478,D483,D493,D498,D503,D508,D513,D518,D523,D528)</f>
        <v>3146845.5000000005</v>
      </c>
      <c r="E473" s="42">
        <f>E478+E483+E488+E493+E498+E503+E508+E513+E518+E523+E528</f>
        <v>450860.34436999995</v>
      </c>
      <c r="F473" s="42">
        <f>F478+F483+F488+F493+F498+F503+F508+F513+F518+F523+F528</f>
        <v>392302.66104999994</v>
      </c>
      <c r="G473" s="45">
        <f t="shared" si="37"/>
        <v>0.12466537078162875</v>
      </c>
      <c r="H473" s="122"/>
      <c r="I473" s="65" t="s">
        <v>18</v>
      </c>
      <c r="J473" s="65">
        <f>COUNTIF($J$477:$J$531,"да")</f>
        <v>0</v>
      </c>
      <c r="K473" s="122"/>
      <c r="L473" s="126"/>
      <c r="M473" s="292"/>
    </row>
    <row r="474" spans="1:13" s="3" customFormat="1" ht="18.95" customHeight="1">
      <c r="A474" s="124"/>
      <c r="B474" s="122"/>
      <c r="C474" s="40" t="s">
        <v>19</v>
      </c>
      <c r="D474" s="41">
        <f>SUM(D489,D479,D484,D494,D499,D504,D509,D514,D519,D524,D529)</f>
        <v>0</v>
      </c>
      <c r="E474" s="42">
        <f t="shared" ref="E474:F476" si="38">E479+E484+E489+E494+E499+E504+E509+E514+E519+E524+E529</f>
        <v>0</v>
      </c>
      <c r="F474" s="42">
        <f t="shared" si="38"/>
        <v>0</v>
      </c>
      <c r="G474" s="45">
        <f t="shared" si="37"/>
        <v>0</v>
      </c>
      <c r="H474" s="122"/>
      <c r="I474" s="65" t="s">
        <v>20</v>
      </c>
      <c r="J474" s="65">
        <f>COUNTIF($J$477:$J$531,"частично")</f>
        <v>1</v>
      </c>
      <c r="K474" s="122"/>
      <c r="L474" s="126"/>
      <c r="M474" s="292"/>
    </row>
    <row r="475" spans="1:13" s="3" customFormat="1" ht="18.95" customHeight="1">
      <c r="A475" s="124"/>
      <c r="B475" s="122"/>
      <c r="C475" s="40" t="s">
        <v>21</v>
      </c>
      <c r="D475" s="41">
        <v>0</v>
      </c>
      <c r="E475" s="42">
        <f t="shared" si="38"/>
        <v>0</v>
      </c>
      <c r="F475" s="42">
        <f t="shared" si="38"/>
        <v>0</v>
      </c>
      <c r="G475" s="45">
        <f t="shared" si="37"/>
        <v>0</v>
      </c>
      <c r="H475" s="122"/>
      <c r="I475" s="65" t="s">
        <v>22</v>
      </c>
      <c r="J475" s="65">
        <f>COUNTIF($J$477:$J$531,"нет")</f>
        <v>7</v>
      </c>
      <c r="K475" s="122"/>
      <c r="L475" s="126"/>
      <c r="M475" s="292"/>
    </row>
    <row r="476" spans="1:13" s="3" customFormat="1" ht="18.95" customHeight="1">
      <c r="A476" s="124"/>
      <c r="B476" s="122"/>
      <c r="C476" s="40" t="s">
        <v>31</v>
      </c>
      <c r="D476" s="41">
        <f>SUM(D491,D481,D486,D496,D501,D506,D511,D516,D521,D526,D531)</f>
        <v>0</v>
      </c>
      <c r="E476" s="42">
        <f t="shared" si="38"/>
        <v>0</v>
      </c>
      <c r="F476" s="42">
        <f t="shared" si="38"/>
        <v>0</v>
      </c>
      <c r="G476" s="45">
        <f t="shared" si="37"/>
        <v>0</v>
      </c>
      <c r="H476" s="122"/>
      <c r="I476" s="65" t="s">
        <v>24</v>
      </c>
      <c r="J476" s="66">
        <f>IF(J472=0,0,(J473+J474*0.5)/J472)</f>
        <v>6.25E-2</v>
      </c>
      <c r="K476" s="122"/>
      <c r="L476" s="127"/>
      <c r="M476" s="292"/>
    </row>
    <row r="477" spans="1:13" s="3" customFormat="1" ht="18.95" customHeight="1">
      <c r="A477" s="225" t="s">
        <v>343</v>
      </c>
      <c r="B477" s="109" t="s">
        <v>344</v>
      </c>
      <c r="C477" s="27" t="s">
        <v>14</v>
      </c>
      <c r="D477" s="28">
        <f>SUM(D478:D481)</f>
        <v>1850579.1</v>
      </c>
      <c r="E477" s="30">
        <f>SUM(E478:E481)</f>
        <v>187130.85433</v>
      </c>
      <c r="F477" s="30">
        <f>SUM(F478:F481)</f>
        <v>154388.43458999999</v>
      </c>
      <c r="G477" s="29">
        <f t="shared" si="37"/>
        <v>8.342709295160633E-2</v>
      </c>
      <c r="H477" s="109" t="s">
        <v>345</v>
      </c>
      <c r="I477" s="111" t="s">
        <v>694</v>
      </c>
      <c r="J477" s="111" t="s">
        <v>105</v>
      </c>
      <c r="K477" s="109" t="s">
        <v>346</v>
      </c>
      <c r="L477" s="104" t="s">
        <v>347</v>
      </c>
      <c r="M477" s="292">
        <v>805</v>
      </c>
    </row>
    <row r="478" spans="1:13" s="3" customFormat="1" ht="18.95" customHeight="1">
      <c r="A478" s="226"/>
      <c r="B478" s="110"/>
      <c r="C478" s="27" t="s">
        <v>17</v>
      </c>
      <c r="D478" s="32">
        <f>1012279.1+838300</f>
        <v>1850579.1</v>
      </c>
      <c r="E478" s="30">
        <v>187130.85433</v>
      </c>
      <c r="F478" s="30">
        <v>154388.43458999999</v>
      </c>
      <c r="G478" s="31">
        <f t="shared" si="37"/>
        <v>8.342709295160633E-2</v>
      </c>
      <c r="H478" s="110"/>
      <c r="I478" s="112"/>
      <c r="J478" s="112"/>
      <c r="K478" s="110"/>
      <c r="L478" s="105"/>
      <c r="M478" s="292"/>
    </row>
    <row r="479" spans="1:13" s="3" customFormat="1" ht="18.95" customHeight="1">
      <c r="A479" s="226"/>
      <c r="B479" s="110"/>
      <c r="C479" s="27" t="s">
        <v>19</v>
      </c>
      <c r="D479" s="28">
        <v>0</v>
      </c>
      <c r="E479" s="30">
        <v>0</v>
      </c>
      <c r="F479" s="30">
        <v>0</v>
      </c>
      <c r="G479" s="31">
        <f t="shared" si="37"/>
        <v>0</v>
      </c>
      <c r="H479" s="110"/>
      <c r="I479" s="112"/>
      <c r="J479" s="112"/>
      <c r="K479" s="110"/>
      <c r="L479" s="105"/>
      <c r="M479" s="292"/>
    </row>
    <row r="480" spans="1:13" s="3" customFormat="1" ht="18.95" customHeight="1">
      <c r="A480" s="226"/>
      <c r="B480" s="110"/>
      <c r="C480" s="27" t="s">
        <v>21</v>
      </c>
      <c r="D480" s="28">
        <v>0</v>
      </c>
      <c r="E480" s="30">
        <v>0</v>
      </c>
      <c r="F480" s="30">
        <v>0</v>
      </c>
      <c r="G480" s="31">
        <f t="shared" si="37"/>
        <v>0</v>
      </c>
      <c r="H480" s="110"/>
      <c r="I480" s="112"/>
      <c r="J480" s="112"/>
      <c r="K480" s="110"/>
      <c r="L480" s="105"/>
      <c r="M480" s="292"/>
    </row>
    <row r="481" spans="1:13" s="3" customFormat="1" ht="18.95" customHeight="1">
      <c r="A481" s="226"/>
      <c r="B481" s="110"/>
      <c r="C481" s="27" t="s">
        <v>31</v>
      </c>
      <c r="D481" s="28">
        <v>0</v>
      </c>
      <c r="E481" s="30">
        <v>0</v>
      </c>
      <c r="F481" s="30">
        <v>0</v>
      </c>
      <c r="G481" s="31">
        <f t="shared" si="37"/>
        <v>0</v>
      </c>
      <c r="H481" s="110"/>
      <c r="I481" s="113"/>
      <c r="J481" s="113"/>
      <c r="K481" s="110"/>
      <c r="L481" s="106"/>
      <c r="M481" s="292"/>
    </row>
    <row r="482" spans="1:13" s="3" customFormat="1" ht="18.95" customHeight="1">
      <c r="A482" s="107" t="s">
        <v>348</v>
      </c>
      <c r="B482" s="109" t="s">
        <v>349</v>
      </c>
      <c r="C482" s="27" t="s">
        <v>14</v>
      </c>
      <c r="D482" s="28">
        <f>D483</f>
        <v>454857.30000000005</v>
      </c>
      <c r="E482" s="30">
        <f>SUM(E483:E486)</f>
        <v>130296.52043999999</v>
      </c>
      <c r="F482" s="30">
        <f>SUM(F483:F486)</f>
        <v>130296.52043999999</v>
      </c>
      <c r="G482" s="29">
        <f t="shared" si="37"/>
        <v>0.28645581908875595</v>
      </c>
      <c r="H482" s="109" t="s">
        <v>350</v>
      </c>
      <c r="I482" s="176" t="s">
        <v>706</v>
      </c>
      <c r="J482" s="111" t="s">
        <v>105</v>
      </c>
      <c r="K482" s="109" t="s">
        <v>351</v>
      </c>
      <c r="L482" s="104" t="s">
        <v>708</v>
      </c>
      <c r="M482" s="292">
        <v>807</v>
      </c>
    </row>
    <row r="483" spans="1:13" s="3" customFormat="1" ht="18.95" customHeight="1">
      <c r="A483" s="108"/>
      <c r="B483" s="110"/>
      <c r="C483" s="27" t="s">
        <v>17</v>
      </c>
      <c r="D483" s="28">
        <f>211291.6+177765.2+60000+5800.5</f>
        <v>454857.30000000005</v>
      </c>
      <c r="E483" s="71">
        <v>130296.52043999999</v>
      </c>
      <c r="F483" s="71">
        <v>130296.52043999999</v>
      </c>
      <c r="G483" s="31">
        <f t="shared" si="37"/>
        <v>0.28645581908875595</v>
      </c>
      <c r="H483" s="110"/>
      <c r="I483" s="177"/>
      <c r="J483" s="112"/>
      <c r="K483" s="110"/>
      <c r="L483" s="105"/>
      <c r="M483" s="292"/>
    </row>
    <row r="484" spans="1:13" s="3" customFormat="1" ht="18.95" customHeight="1">
      <c r="A484" s="108"/>
      <c r="B484" s="110"/>
      <c r="C484" s="27" t="s">
        <v>19</v>
      </c>
      <c r="D484" s="28">
        <v>0</v>
      </c>
      <c r="E484" s="30">
        <v>0</v>
      </c>
      <c r="F484" s="30">
        <v>0</v>
      </c>
      <c r="G484" s="31">
        <f t="shared" si="37"/>
        <v>0</v>
      </c>
      <c r="H484" s="110"/>
      <c r="I484" s="177"/>
      <c r="J484" s="112"/>
      <c r="K484" s="110"/>
      <c r="L484" s="105"/>
      <c r="M484" s="292"/>
    </row>
    <row r="485" spans="1:13" s="3" customFormat="1" ht="18.95" customHeight="1">
      <c r="A485" s="108"/>
      <c r="B485" s="110"/>
      <c r="C485" s="27" t="s">
        <v>21</v>
      </c>
      <c r="D485" s="28">
        <v>0</v>
      </c>
      <c r="E485" s="30">
        <v>0</v>
      </c>
      <c r="F485" s="30">
        <v>0</v>
      </c>
      <c r="G485" s="31">
        <f t="shared" si="37"/>
        <v>0</v>
      </c>
      <c r="H485" s="110"/>
      <c r="I485" s="177"/>
      <c r="J485" s="112"/>
      <c r="K485" s="110"/>
      <c r="L485" s="105"/>
      <c r="M485" s="292"/>
    </row>
    <row r="486" spans="1:13" s="3" customFormat="1" ht="18.95" customHeight="1">
      <c r="A486" s="108"/>
      <c r="B486" s="110"/>
      <c r="C486" s="27" t="s">
        <v>31</v>
      </c>
      <c r="D486" s="28">
        <v>0</v>
      </c>
      <c r="E486" s="30">
        <v>0</v>
      </c>
      <c r="F486" s="30">
        <v>0</v>
      </c>
      <c r="G486" s="31">
        <f t="shared" si="37"/>
        <v>0</v>
      </c>
      <c r="H486" s="110"/>
      <c r="I486" s="178"/>
      <c r="J486" s="113"/>
      <c r="K486" s="110"/>
      <c r="L486" s="106"/>
      <c r="M486" s="292"/>
    </row>
    <row r="487" spans="1:13" s="3" customFormat="1" ht="18.95" customHeight="1">
      <c r="A487" s="107" t="s">
        <v>352</v>
      </c>
      <c r="B487" s="109" t="s">
        <v>353</v>
      </c>
      <c r="C487" s="27" t="s">
        <v>14</v>
      </c>
      <c r="D487" s="28">
        <f>D488</f>
        <v>150463.99999999997</v>
      </c>
      <c r="E487" s="30">
        <f>SUM(E488:E491)</f>
        <v>22215.205709999998</v>
      </c>
      <c r="F487" s="30">
        <f>SUM(F488:F491)</f>
        <v>13482.7</v>
      </c>
      <c r="G487" s="29">
        <f t="shared" ref="G487:G501" si="39">IF(D487&lt;&gt;0,F487/D487,0)</f>
        <v>8.9607480859208874E-2</v>
      </c>
      <c r="H487" s="109" t="s">
        <v>354</v>
      </c>
      <c r="I487" s="111" t="s">
        <v>707</v>
      </c>
      <c r="J487" s="111" t="s">
        <v>105</v>
      </c>
      <c r="K487" s="109" t="s">
        <v>355</v>
      </c>
      <c r="L487" s="117" t="s">
        <v>803</v>
      </c>
      <c r="M487" s="292">
        <v>805</v>
      </c>
    </row>
    <row r="488" spans="1:13" s="3" customFormat="1" ht="18.95" customHeight="1">
      <c r="A488" s="108"/>
      <c r="B488" s="110"/>
      <c r="C488" s="27" t="s">
        <v>17</v>
      </c>
      <c r="D488" s="28">
        <f>571409.1-449258.5+28313.4</f>
        <v>150463.99999999997</v>
      </c>
      <c r="E488" s="30">
        <v>22215.205709999998</v>
      </c>
      <c r="F488" s="30">
        <v>13482.7</v>
      </c>
      <c r="G488" s="31">
        <f t="shared" si="39"/>
        <v>8.9607480859208874E-2</v>
      </c>
      <c r="H488" s="110"/>
      <c r="I488" s="112"/>
      <c r="J488" s="112"/>
      <c r="K488" s="110"/>
      <c r="L488" s="118"/>
      <c r="M488" s="292"/>
    </row>
    <row r="489" spans="1:13" s="3" customFormat="1" ht="18.95" customHeight="1">
      <c r="A489" s="108"/>
      <c r="B489" s="110"/>
      <c r="C489" s="27" t="s">
        <v>19</v>
      </c>
      <c r="D489" s="28">
        <v>0</v>
      </c>
      <c r="E489" s="30">
        <v>0</v>
      </c>
      <c r="F489" s="30">
        <v>0</v>
      </c>
      <c r="G489" s="31">
        <f t="shared" si="39"/>
        <v>0</v>
      </c>
      <c r="H489" s="110"/>
      <c r="I489" s="112"/>
      <c r="J489" s="112"/>
      <c r="K489" s="110"/>
      <c r="L489" s="118"/>
      <c r="M489" s="292"/>
    </row>
    <row r="490" spans="1:13" s="3" customFormat="1" ht="18.95" customHeight="1">
      <c r="A490" s="108"/>
      <c r="B490" s="110"/>
      <c r="C490" s="27" t="s">
        <v>21</v>
      </c>
      <c r="D490" s="28">
        <v>0</v>
      </c>
      <c r="E490" s="30">
        <v>0</v>
      </c>
      <c r="F490" s="30">
        <v>0</v>
      </c>
      <c r="G490" s="31">
        <f t="shared" si="39"/>
        <v>0</v>
      </c>
      <c r="H490" s="110"/>
      <c r="I490" s="112"/>
      <c r="J490" s="112"/>
      <c r="K490" s="110"/>
      <c r="L490" s="118"/>
      <c r="M490" s="292"/>
    </row>
    <row r="491" spans="1:13" s="3" customFormat="1" ht="18.75" customHeight="1">
      <c r="A491" s="108"/>
      <c r="B491" s="110"/>
      <c r="C491" s="27" t="s">
        <v>31</v>
      </c>
      <c r="D491" s="28">
        <v>0</v>
      </c>
      <c r="E491" s="30">
        <v>0</v>
      </c>
      <c r="F491" s="30">
        <v>0</v>
      </c>
      <c r="G491" s="31">
        <f t="shared" si="39"/>
        <v>0</v>
      </c>
      <c r="H491" s="110"/>
      <c r="I491" s="113"/>
      <c r="J491" s="113"/>
      <c r="K491" s="110"/>
      <c r="L491" s="119"/>
      <c r="M491" s="292"/>
    </row>
    <row r="492" spans="1:13" s="3" customFormat="1" ht="25.5" hidden="1" customHeight="1">
      <c r="A492" s="107" t="s">
        <v>356</v>
      </c>
      <c r="B492" s="109" t="s">
        <v>357</v>
      </c>
      <c r="C492" s="27" t="s">
        <v>14</v>
      </c>
      <c r="D492" s="28">
        <f>D493</f>
        <v>0</v>
      </c>
      <c r="E492" s="30">
        <f>SUM(E493:E496)</f>
        <v>0</v>
      </c>
      <c r="F492" s="30">
        <f>SUM(F493:F496)</f>
        <v>0</v>
      </c>
      <c r="G492" s="29">
        <f t="shared" si="39"/>
        <v>0</v>
      </c>
      <c r="H492" s="109" t="s">
        <v>358</v>
      </c>
      <c r="I492" s="111"/>
      <c r="J492" s="111"/>
      <c r="K492" s="109" t="s">
        <v>355</v>
      </c>
      <c r="L492" s="104"/>
      <c r="M492" s="1"/>
    </row>
    <row r="493" spans="1:13" s="3" customFormat="1" ht="25.5" hidden="1" customHeight="1">
      <c r="A493" s="108"/>
      <c r="B493" s="110"/>
      <c r="C493" s="27" t="s">
        <v>17</v>
      </c>
      <c r="D493" s="28">
        <v>0</v>
      </c>
      <c r="E493" s="30">
        <v>0</v>
      </c>
      <c r="F493" s="30">
        <v>0</v>
      </c>
      <c r="G493" s="31">
        <f t="shared" si="39"/>
        <v>0</v>
      </c>
      <c r="H493" s="110"/>
      <c r="I493" s="112"/>
      <c r="J493" s="112"/>
      <c r="K493" s="110"/>
      <c r="L493" s="105"/>
      <c r="M493" s="1"/>
    </row>
    <row r="494" spans="1:13" s="3" customFormat="1" ht="27" hidden="1" customHeight="1">
      <c r="A494" s="108"/>
      <c r="B494" s="110"/>
      <c r="C494" s="27" t="s">
        <v>19</v>
      </c>
      <c r="D494" s="28">
        <v>0</v>
      </c>
      <c r="E494" s="30">
        <v>0</v>
      </c>
      <c r="F494" s="30">
        <v>0</v>
      </c>
      <c r="G494" s="31">
        <f t="shared" si="39"/>
        <v>0</v>
      </c>
      <c r="H494" s="110"/>
      <c r="I494" s="112"/>
      <c r="J494" s="112"/>
      <c r="K494" s="110"/>
      <c r="L494" s="105"/>
      <c r="M494" s="1"/>
    </row>
    <row r="495" spans="1:13" s="3" customFormat="1" ht="27.75" hidden="1" customHeight="1">
      <c r="A495" s="108"/>
      <c r="B495" s="110"/>
      <c r="C495" s="27" t="s">
        <v>21</v>
      </c>
      <c r="D495" s="28">
        <v>0</v>
      </c>
      <c r="E495" s="30">
        <v>0</v>
      </c>
      <c r="F495" s="30">
        <v>0</v>
      </c>
      <c r="G495" s="31">
        <f t="shared" si="39"/>
        <v>0</v>
      </c>
      <c r="H495" s="110"/>
      <c r="I495" s="112"/>
      <c r="J495" s="112"/>
      <c r="K495" s="110"/>
      <c r="L495" s="105"/>
      <c r="M495" s="1"/>
    </row>
    <row r="496" spans="1:13" s="3" customFormat="1" ht="32.25" hidden="1" customHeight="1">
      <c r="A496" s="108"/>
      <c r="B496" s="110"/>
      <c r="C496" s="27" t="s">
        <v>31</v>
      </c>
      <c r="D496" s="28">
        <v>0</v>
      </c>
      <c r="E496" s="30">
        <v>0</v>
      </c>
      <c r="F496" s="30">
        <v>0</v>
      </c>
      <c r="G496" s="31">
        <f t="shared" si="39"/>
        <v>0</v>
      </c>
      <c r="H496" s="110"/>
      <c r="I496" s="113"/>
      <c r="J496" s="113"/>
      <c r="K496" s="110"/>
      <c r="L496" s="106"/>
      <c r="M496" s="1"/>
    </row>
    <row r="497" spans="1:13" s="3" customFormat="1" ht="24.75" hidden="1" customHeight="1">
      <c r="A497" s="107" t="s">
        <v>359</v>
      </c>
      <c r="B497" s="120" t="s">
        <v>360</v>
      </c>
      <c r="C497" s="27" t="s">
        <v>14</v>
      </c>
      <c r="D497" s="28">
        <f>D498</f>
        <v>0</v>
      </c>
      <c r="E497" s="30">
        <f>SUM(E498:E501)</f>
        <v>0</v>
      </c>
      <c r="F497" s="30">
        <f>SUM(F498:F501)</f>
        <v>0</v>
      </c>
      <c r="G497" s="29">
        <f t="shared" si="39"/>
        <v>0</v>
      </c>
      <c r="H497" s="109" t="s">
        <v>361</v>
      </c>
      <c r="I497" s="111"/>
      <c r="J497" s="111"/>
      <c r="K497" s="109" t="s">
        <v>351</v>
      </c>
      <c r="L497" s="104"/>
      <c r="M497" s="1"/>
    </row>
    <row r="498" spans="1:13" s="3" customFormat="1" ht="22.5" hidden="1" customHeight="1">
      <c r="A498" s="108"/>
      <c r="B498" s="110"/>
      <c r="C498" s="27" t="s">
        <v>17</v>
      </c>
      <c r="D498" s="28">
        <v>0</v>
      </c>
      <c r="E498" s="30">
        <v>0</v>
      </c>
      <c r="F498" s="30">
        <v>0</v>
      </c>
      <c r="G498" s="31">
        <f t="shared" si="39"/>
        <v>0</v>
      </c>
      <c r="H498" s="110"/>
      <c r="I498" s="112"/>
      <c r="J498" s="112"/>
      <c r="K498" s="110"/>
      <c r="L498" s="105"/>
      <c r="M498" s="1"/>
    </row>
    <row r="499" spans="1:13" s="3" customFormat="1" ht="21.75" hidden="1" customHeight="1">
      <c r="A499" s="108"/>
      <c r="B499" s="110"/>
      <c r="C499" s="27" t="s">
        <v>19</v>
      </c>
      <c r="D499" s="28">
        <v>0</v>
      </c>
      <c r="E499" s="30">
        <v>0</v>
      </c>
      <c r="F499" s="30">
        <v>0</v>
      </c>
      <c r="G499" s="31">
        <f t="shared" si="39"/>
        <v>0</v>
      </c>
      <c r="H499" s="110"/>
      <c r="I499" s="112"/>
      <c r="J499" s="112"/>
      <c r="K499" s="110"/>
      <c r="L499" s="105"/>
      <c r="M499" s="1"/>
    </row>
    <row r="500" spans="1:13" s="3" customFormat="1" ht="21.75" hidden="1" customHeight="1">
      <c r="A500" s="108"/>
      <c r="B500" s="110"/>
      <c r="C500" s="27" t="s">
        <v>21</v>
      </c>
      <c r="D500" s="28">
        <v>0</v>
      </c>
      <c r="E500" s="30">
        <v>0</v>
      </c>
      <c r="F500" s="30">
        <v>0</v>
      </c>
      <c r="G500" s="31">
        <f t="shared" si="39"/>
        <v>0</v>
      </c>
      <c r="H500" s="110"/>
      <c r="I500" s="112"/>
      <c r="J500" s="112"/>
      <c r="K500" s="110"/>
      <c r="L500" s="105"/>
      <c r="M500" s="1"/>
    </row>
    <row r="501" spans="1:13" s="3" customFormat="1" ht="19.5" hidden="1" customHeight="1">
      <c r="A501" s="108"/>
      <c r="B501" s="110"/>
      <c r="C501" s="27" t="s">
        <v>31</v>
      </c>
      <c r="D501" s="28">
        <v>0</v>
      </c>
      <c r="E501" s="30">
        <v>0</v>
      </c>
      <c r="F501" s="30">
        <v>0</v>
      </c>
      <c r="G501" s="31">
        <f t="shared" si="39"/>
        <v>0</v>
      </c>
      <c r="H501" s="110"/>
      <c r="I501" s="113"/>
      <c r="J501" s="113"/>
      <c r="K501" s="110"/>
      <c r="L501" s="106"/>
      <c r="M501" s="1"/>
    </row>
    <row r="502" spans="1:13" s="3" customFormat="1" ht="18.95" customHeight="1">
      <c r="A502" s="107" t="s">
        <v>362</v>
      </c>
      <c r="B502" s="109" t="s">
        <v>363</v>
      </c>
      <c r="C502" s="27" t="s">
        <v>14</v>
      </c>
      <c r="D502" s="32">
        <f>D503</f>
        <v>113200</v>
      </c>
      <c r="E502" s="30">
        <f>SUM(E503:E506)</f>
        <v>0</v>
      </c>
      <c r="F502" s="30">
        <f>SUM(F503:F506)</f>
        <v>0</v>
      </c>
      <c r="G502" s="29">
        <f t="shared" si="37"/>
        <v>0</v>
      </c>
      <c r="H502" s="109" t="s">
        <v>364</v>
      </c>
      <c r="I502" s="111" t="s">
        <v>709</v>
      </c>
      <c r="J502" s="111" t="s">
        <v>105</v>
      </c>
      <c r="K502" s="109" t="s">
        <v>355</v>
      </c>
      <c r="L502" s="114" t="s">
        <v>831</v>
      </c>
      <c r="M502" s="292">
        <v>805</v>
      </c>
    </row>
    <row r="503" spans="1:13" s="3" customFormat="1" ht="18.95" customHeight="1">
      <c r="A503" s="108"/>
      <c r="B503" s="110"/>
      <c r="C503" s="27" t="s">
        <v>17</v>
      </c>
      <c r="D503" s="28">
        <f>80800+32400</f>
        <v>113200</v>
      </c>
      <c r="E503" s="30">
        <v>0</v>
      </c>
      <c r="F503" s="30">
        <v>0</v>
      </c>
      <c r="G503" s="31">
        <f t="shared" si="37"/>
        <v>0</v>
      </c>
      <c r="H503" s="110"/>
      <c r="I503" s="112"/>
      <c r="J503" s="112"/>
      <c r="K503" s="110"/>
      <c r="L503" s="115"/>
      <c r="M503" s="292"/>
    </row>
    <row r="504" spans="1:13" s="3" customFormat="1" ht="18.95" customHeight="1">
      <c r="A504" s="108"/>
      <c r="B504" s="110"/>
      <c r="C504" s="27" t="s">
        <v>19</v>
      </c>
      <c r="D504" s="28">
        <v>0</v>
      </c>
      <c r="E504" s="30">
        <v>0</v>
      </c>
      <c r="F504" s="30">
        <v>0</v>
      </c>
      <c r="G504" s="31">
        <f t="shared" si="37"/>
        <v>0</v>
      </c>
      <c r="H504" s="110"/>
      <c r="I504" s="112"/>
      <c r="J504" s="112"/>
      <c r="K504" s="110"/>
      <c r="L504" s="115"/>
      <c r="M504" s="292"/>
    </row>
    <row r="505" spans="1:13" s="3" customFormat="1" ht="18.95" customHeight="1">
      <c r="A505" s="108"/>
      <c r="B505" s="110"/>
      <c r="C505" s="27" t="s">
        <v>21</v>
      </c>
      <c r="D505" s="28">
        <v>0</v>
      </c>
      <c r="E505" s="30">
        <v>0</v>
      </c>
      <c r="F505" s="30">
        <v>0</v>
      </c>
      <c r="G505" s="31">
        <f t="shared" si="37"/>
        <v>0</v>
      </c>
      <c r="H505" s="110"/>
      <c r="I505" s="112"/>
      <c r="J505" s="112"/>
      <c r="K505" s="110"/>
      <c r="L505" s="115"/>
      <c r="M505" s="292"/>
    </row>
    <row r="506" spans="1:13" s="3" customFormat="1" ht="18.95" customHeight="1">
      <c r="A506" s="108"/>
      <c r="B506" s="110"/>
      <c r="C506" s="27" t="s">
        <v>31</v>
      </c>
      <c r="D506" s="28">
        <v>0</v>
      </c>
      <c r="E506" s="30">
        <v>0</v>
      </c>
      <c r="F506" s="30">
        <v>0</v>
      </c>
      <c r="G506" s="31">
        <f t="shared" si="37"/>
        <v>0</v>
      </c>
      <c r="H506" s="110"/>
      <c r="I506" s="113"/>
      <c r="J506" s="113"/>
      <c r="K506" s="110"/>
      <c r="L506" s="116"/>
      <c r="M506" s="292"/>
    </row>
    <row r="507" spans="1:13" s="3" customFormat="1" ht="18.95" customHeight="1">
      <c r="A507" s="107" t="s">
        <v>365</v>
      </c>
      <c r="B507" s="109" t="s">
        <v>366</v>
      </c>
      <c r="C507" s="27" t="s">
        <v>14</v>
      </c>
      <c r="D507" s="28">
        <f>D508</f>
        <v>20000</v>
      </c>
      <c r="E507" s="30">
        <f>SUM(E508:E511)</f>
        <v>1307.08602</v>
      </c>
      <c r="F507" s="30">
        <f>SUM(F508:F511)</f>
        <v>1307.08602</v>
      </c>
      <c r="G507" s="29">
        <f t="shared" si="37"/>
        <v>6.5354301000000004E-2</v>
      </c>
      <c r="H507" s="109" t="s">
        <v>367</v>
      </c>
      <c r="I507" s="111" t="s">
        <v>710</v>
      </c>
      <c r="J507" s="111" t="s">
        <v>105</v>
      </c>
      <c r="K507" s="109" t="s">
        <v>355</v>
      </c>
      <c r="L507" s="104" t="s">
        <v>805</v>
      </c>
      <c r="M507" s="292">
        <v>805</v>
      </c>
    </row>
    <row r="508" spans="1:13" s="3" customFormat="1" ht="18.95" customHeight="1">
      <c r="A508" s="108"/>
      <c r="B508" s="110"/>
      <c r="C508" s="27" t="s">
        <v>17</v>
      </c>
      <c r="D508" s="28">
        <v>20000</v>
      </c>
      <c r="E508" s="30">
        <v>1307.08602</v>
      </c>
      <c r="F508" s="30">
        <v>1307.08602</v>
      </c>
      <c r="G508" s="31">
        <f t="shared" si="37"/>
        <v>6.5354301000000004E-2</v>
      </c>
      <c r="H508" s="110"/>
      <c r="I508" s="112"/>
      <c r="J508" s="112"/>
      <c r="K508" s="110"/>
      <c r="L508" s="105"/>
      <c r="M508" s="292"/>
    </row>
    <row r="509" spans="1:13" s="3" customFormat="1" ht="18.95" customHeight="1">
      <c r="A509" s="108"/>
      <c r="B509" s="110"/>
      <c r="C509" s="27" t="s">
        <v>19</v>
      </c>
      <c r="D509" s="28">
        <v>0</v>
      </c>
      <c r="E509" s="30">
        <v>0</v>
      </c>
      <c r="F509" s="30">
        <v>0</v>
      </c>
      <c r="G509" s="31">
        <f t="shared" si="37"/>
        <v>0</v>
      </c>
      <c r="H509" s="110"/>
      <c r="I509" s="112"/>
      <c r="J509" s="112"/>
      <c r="K509" s="110"/>
      <c r="L509" s="105"/>
      <c r="M509" s="292"/>
    </row>
    <row r="510" spans="1:13" s="3" customFormat="1" ht="18.95" customHeight="1">
      <c r="A510" s="108"/>
      <c r="B510" s="110"/>
      <c r="C510" s="27" t="s">
        <v>21</v>
      </c>
      <c r="D510" s="28">
        <v>0</v>
      </c>
      <c r="E510" s="30">
        <v>0</v>
      </c>
      <c r="F510" s="30">
        <v>0</v>
      </c>
      <c r="G510" s="31">
        <f t="shared" si="37"/>
        <v>0</v>
      </c>
      <c r="H510" s="110"/>
      <c r="I510" s="112"/>
      <c r="J510" s="112"/>
      <c r="K510" s="110"/>
      <c r="L510" s="105"/>
      <c r="M510" s="292"/>
    </row>
    <row r="511" spans="1:13" s="3" customFormat="1" ht="18.95" customHeight="1">
      <c r="A511" s="108"/>
      <c r="B511" s="110"/>
      <c r="C511" s="27" t="s">
        <v>31</v>
      </c>
      <c r="D511" s="28">
        <v>0</v>
      </c>
      <c r="E511" s="30">
        <v>0</v>
      </c>
      <c r="F511" s="30">
        <v>0</v>
      </c>
      <c r="G511" s="31">
        <f t="shared" si="37"/>
        <v>0</v>
      </c>
      <c r="H511" s="110"/>
      <c r="I511" s="113"/>
      <c r="J511" s="113"/>
      <c r="K511" s="110"/>
      <c r="L511" s="106"/>
      <c r="M511" s="292"/>
    </row>
    <row r="512" spans="1:13" s="3" customFormat="1" ht="18.95" customHeight="1">
      <c r="A512" s="107" t="s">
        <v>368</v>
      </c>
      <c r="B512" s="109" t="s">
        <v>369</v>
      </c>
      <c r="C512" s="27" t="s">
        <v>14</v>
      </c>
      <c r="D512" s="28">
        <f>D513</f>
        <v>91000</v>
      </c>
      <c r="E512" s="30">
        <f>SUM(E513:E516)</f>
        <v>6389.1379999999999</v>
      </c>
      <c r="F512" s="30">
        <f>SUM(F513:F516)</f>
        <v>6241.35</v>
      </c>
      <c r="G512" s="29">
        <f t="shared" si="37"/>
        <v>6.8586263736263739E-2</v>
      </c>
      <c r="H512" s="109" t="s">
        <v>370</v>
      </c>
      <c r="I512" s="111" t="s">
        <v>711</v>
      </c>
      <c r="J512" s="111" t="s">
        <v>105</v>
      </c>
      <c r="K512" s="109" t="s">
        <v>355</v>
      </c>
      <c r="L512" s="104" t="s">
        <v>805</v>
      </c>
      <c r="M512" s="292">
        <v>805</v>
      </c>
    </row>
    <row r="513" spans="1:13" s="3" customFormat="1" ht="18.95" customHeight="1">
      <c r="A513" s="108"/>
      <c r="B513" s="110"/>
      <c r="C513" s="27" t="s">
        <v>17</v>
      </c>
      <c r="D513" s="28">
        <v>91000</v>
      </c>
      <c r="E513" s="30">
        <v>6389.1379999999999</v>
      </c>
      <c r="F513" s="30">
        <v>6241.35</v>
      </c>
      <c r="G513" s="31">
        <f t="shared" si="37"/>
        <v>6.8586263736263739E-2</v>
      </c>
      <c r="H513" s="110"/>
      <c r="I513" s="112"/>
      <c r="J513" s="112"/>
      <c r="K513" s="110"/>
      <c r="L513" s="105"/>
      <c r="M513" s="292"/>
    </row>
    <row r="514" spans="1:13" s="3" customFormat="1" ht="18.95" customHeight="1">
      <c r="A514" s="108"/>
      <c r="B514" s="110"/>
      <c r="C514" s="27" t="s">
        <v>19</v>
      </c>
      <c r="D514" s="28">
        <v>0</v>
      </c>
      <c r="E514" s="30">
        <v>0</v>
      </c>
      <c r="F514" s="30">
        <v>0</v>
      </c>
      <c r="G514" s="31">
        <f t="shared" si="37"/>
        <v>0</v>
      </c>
      <c r="H514" s="110"/>
      <c r="I514" s="112"/>
      <c r="J514" s="112"/>
      <c r="K514" s="110"/>
      <c r="L514" s="105"/>
      <c r="M514" s="292"/>
    </row>
    <row r="515" spans="1:13" s="3" customFormat="1" ht="18.95" customHeight="1">
      <c r="A515" s="108"/>
      <c r="B515" s="110"/>
      <c r="C515" s="27" t="s">
        <v>21</v>
      </c>
      <c r="D515" s="28">
        <v>0</v>
      </c>
      <c r="E515" s="30">
        <v>0</v>
      </c>
      <c r="F515" s="30">
        <v>0</v>
      </c>
      <c r="G515" s="31">
        <f t="shared" si="37"/>
        <v>0</v>
      </c>
      <c r="H515" s="110"/>
      <c r="I515" s="112"/>
      <c r="J515" s="112"/>
      <c r="K515" s="110"/>
      <c r="L515" s="105"/>
      <c r="M515" s="292"/>
    </row>
    <row r="516" spans="1:13" s="3" customFormat="1" ht="18.95" customHeight="1">
      <c r="A516" s="108"/>
      <c r="B516" s="110"/>
      <c r="C516" s="27" t="s">
        <v>31</v>
      </c>
      <c r="D516" s="28">
        <v>0</v>
      </c>
      <c r="E516" s="30">
        <v>0</v>
      </c>
      <c r="F516" s="30">
        <v>0</v>
      </c>
      <c r="G516" s="31">
        <f t="shared" si="37"/>
        <v>0</v>
      </c>
      <c r="H516" s="110"/>
      <c r="I516" s="113"/>
      <c r="J516" s="113"/>
      <c r="K516" s="110"/>
      <c r="L516" s="106"/>
      <c r="M516" s="292"/>
    </row>
    <row r="517" spans="1:13" ht="18.95" customHeight="1">
      <c r="A517" s="107" t="s">
        <v>371</v>
      </c>
      <c r="B517" s="109" t="s">
        <v>372</v>
      </c>
      <c r="C517" s="27" t="s">
        <v>14</v>
      </c>
      <c r="D517" s="28">
        <f>D518</f>
        <v>25000</v>
      </c>
      <c r="E517" s="30">
        <f>SUM(E518:E521)</f>
        <v>14618</v>
      </c>
      <c r="F517" s="30">
        <f>SUM(F518:F521)</f>
        <v>14618</v>
      </c>
      <c r="G517" s="29">
        <f t="shared" si="37"/>
        <v>0.58472000000000002</v>
      </c>
      <c r="H517" s="109" t="s">
        <v>373</v>
      </c>
      <c r="I517" s="111" t="s">
        <v>695</v>
      </c>
      <c r="J517" s="111" t="s">
        <v>701</v>
      </c>
      <c r="K517" s="109" t="s">
        <v>355</v>
      </c>
      <c r="L517" s="117" t="s">
        <v>717</v>
      </c>
      <c r="M517" s="292">
        <v>805</v>
      </c>
    </row>
    <row r="518" spans="1:13" ht="18.95" customHeight="1">
      <c r="A518" s="108"/>
      <c r="B518" s="110"/>
      <c r="C518" s="27" t="s">
        <v>17</v>
      </c>
      <c r="D518" s="28">
        <v>25000</v>
      </c>
      <c r="E518" s="30">
        <v>14618</v>
      </c>
      <c r="F518" s="30">
        <v>14618</v>
      </c>
      <c r="G518" s="31">
        <f t="shared" si="37"/>
        <v>0.58472000000000002</v>
      </c>
      <c r="H518" s="110"/>
      <c r="I518" s="112"/>
      <c r="J518" s="112"/>
      <c r="K518" s="110"/>
      <c r="L518" s="118"/>
      <c r="M518" s="292"/>
    </row>
    <row r="519" spans="1:13" ht="18.95" customHeight="1">
      <c r="A519" s="108"/>
      <c r="B519" s="110"/>
      <c r="C519" s="27" t="s">
        <v>19</v>
      </c>
      <c r="D519" s="28">
        <v>0</v>
      </c>
      <c r="E519" s="30">
        <v>0</v>
      </c>
      <c r="F519" s="30">
        <v>0</v>
      </c>
      <c r="G519" s="31">
        <f t="shared" si="37"/>
        <v>0</v>
      </c>
      <c r="H519" s="110"/>
      <c r="I519" s="112"/>
      <c r="J519" s="112"/>
      <c r="K519" s="110"/>
      <c r="L519" s="118"/>
      <c r="M519" s="292"/>
    </row>
    <row r="520" spans="1:13" ht="18.95" customHeight="1">
      <c r="A520" s="108"/>
      <c r="B520" s="110"/>
      <c r="C520" s="27" t="s">
        <v>21</v>
      </c>
      <c r="D520" s="28">
        <v>0</v>
      </c>
      <c r="E520" s="30">
        <v>0</v>
      </c>
      <c r="F520" s="30">
        <v>0</v>
      </c>
      <c r="G520" s="31">
        <f t="shared" si="37"/>
        <v>0</v>
      </c>
      <c r="H520" s="110"/>
      <c r="I520" s="112"/>
      <c r="J520" s="112"/>
      <c r="K520" s="110"/>
      <c r="L520" s="118"/>
      <c r="M520" s="292"/>
    </row>
    <row r="521" spans="1:13" ht="18.95" customHeight="1">
      <c r="A521" s="108"/>
      <c r="B521" s="110"/>
      <c r="C521" s="27" t="s">
        <v>31</v>
      </c>
      <c r="D521" s="28">
        <v>0</v>
      </c>
      <c r="E521" s="30">
        <v>0</v>
      </c>
      <c r="F521" s="30">
        <v>0</v>
      </c>
      <c r="G521" s="31">
        <f t="shared" si="37"/>
        <v>0</v>
      </c>
      <c r="H521" s="110"/>
      <c r="I521" s="113"/>
      <c r="J521" s="113"/>
      <c r="K521" s="110"/>
      <c r="L521" s="119"/>
      <c r="M521" s="292"/>
    </row>
    <row r="522" spans="1:13" ht="18.95" hidden="1" customHeight="1">
      <c r="A522" s="107" t="s">
        <v>374</v>
      </c>
      <c r="B522" s="120" t="s">
        <v>375</v>
      </c>
      <c r="C522" s="27" t="s">
        <v>14</v>
      </c>
      <c r="D522" s="28">
        <f>D523</f>
        <v>0</v>
      </c>
      <c r="E522" s="30">
        <f>SUM(E523:E526)</f>
        <v>0</v>
      </c>
      <c r="F522" s="30">
        <f>SUM(F523:F526)</f>
        <v>0</v>
      </c>
      <c r="G522" s="29">
        <f t="shared" si="37"/>
        <v>0</v>
      </c>
      <c r="H522" s="109" t="s">
        <v>361</v>
      </c>
      <c r="I522" s="111"/>
      <c r="J522" s="111"/>
      <c r="K522" s="109" t="s">
        <v>351</v>
      </c>
      <c r="L522" s="104"/>
    </row>
    <row r="523" spans="1:13" ht="18.95" hidden="1" customHeight="1">
      <c r="A523" s="108"/>
      <c r="B523" s="110"/>
      <c r="C523" s="27" t="s">
        <v>17</v>
      </c>
      <c r="D523" s="28">
        <v>0</v>
      </c>
      <c r="E523" s="30">
        <v>0</v>
      </c>
      <c r="F523" s="30">
        <v>0</v>
      </c>
      <c r="G523" s="31">
        <f t="shared" si="37"/>
        <v>0</v>
      </c>
      <c r="H523" s="110"/>
      <c r="I523" s="112"/>
      <c r="J523" s="112"/>
      <c r="K523" s="110"/>
      <c r="L523" s="105"/>
    </row>
    <row r="524" spans="1:13" ht="18.95" hidden="1" customHeight="1">
      <c r="A524" s="108"/>
      <c r="B524" s="110"/>
      <c r="C524" s="27" t="s">
        <v>19</v>
      </c>
      <c r="D524" s="28">
        <v>0</v>
      </c>
      <c r="E524" s="30">
        <v>0</v>
      </c>
      <c r="F524" s="30">
        <v>0</v>
      </c>
      <c r="G524" s="31">
        <f t="shared" si="37"/>
        <v>0</v>
      </c>
      <c r="H524" s="110"/>
      <c r="I524" s="112"/>
      <c r="J524" s="112"/>
      <c r="K524" s="110"/>
      <c r="L524" s="105"/>
    </row>
    <row r="525" spans="1:13" ht="18.95" hidden="1" customHeight="1">
      <c r="A525" s="108"/>
      <c r="B525" s="110"/>
      <c r="C525" s="27" t="s">
        <v>21</v>
      </c>
      <c r="D525" s="28">
        <v>0</v>
      </c>
      <c r="E525" s="30">
        <v>0</v>
      </c>
      <c r="F525" s="30">
        <v>0</v>
      </c>
      <c r="G525" s="31">
        <f t="shared" si="37"/>
        <v>0</v>
      </c>
      <c r="H525" s="110"/>
      <c r="I525" s="112"/>
      <c r="J525" s="112"/>
      <c r="K525" s="110"/>
      <c r="L525" s="105"/>
    </row>
    <row r="526" spans="1:13" ht="18.95" hidden="1" customHeight="1">
      <c r="A526" s="108"/>
      <c r="B526" s="110"/>
      <c r="C526" s="27" t="s">
        <v>31</v>
      </c>
      <c r="D526" s="28">
        <v>0</v>
      </c>
      <c r="E526" s="30">
        <v>0</v>
      </c>
      <c r="F526" s="30">
        <v>0</v>
      </c>
      <c r="G526" s="31">
        <f t="shared" si="37"/>
        <v>0</v>
      </c>
      <c r="H526" s="110"/>
      <c r="I526" s="113"/>
      <c r="J526" s="113"/>
      <c r="K526" s="110"/>
      <c r="L526" s="106"/>
    </row>
    <row r="527" spans="1:13" ht="18.95" customHeight="1">
      <c r="A527" s="107" t="s">
        <v>376</v>
      </c>
      <c r="B527" s="109" t="s">
        <v>377</v>
      </c>
      <c r="C527" s="27" t="s">
        <v>14</v>
      </c>
      <c r="D527" s="28">
        <f>D528</f>
        <v>441745.1</v>
      </c>
      <c r="E527" s="30">
        <f>SUM(E528:E531)</f>
        <v>88903.539869999993</v>
      </c>
      <c r="F527" s="30">
        <f>SUM(F528:F531)</f>
        <v>71968.570000000007</v>
      </c>
      <c r="G527" s="29">
        <f t="shared" si="37"/>
        <v>0.16291877374531152</v>
      </c>
      <c r="H527" s="109" t="s">
        <v>378</v>
      </c>
      <c r="I527" s="111" t="s">
        <v>712</v>
      </c>
      <c r="J527" s="111" t="s">
        <v>105</v>
      </c>
      <c r="K527" s="109" t="s">
        <v>355</v>
      </c>
      <c r="L527" s="104" t="s">
        <v>804</v>
      </c>
      <c r="M527" s="292">
        <v>805</v>
      </c>
    </row>
    <row r="528" spans="1:13" ht="18.95" customHeight="1">
      <c r="A528" s="108"/>
      <c r="B528" s="110"/>
      <c r="C528" s="27" t="s">
        <v>17</v>
      </c>
      <c r="D528" s="28">
        <f>449258.5+20800-28313.4</f>
        <v>441745.1</v>
      </c>
      <c r="E528" s="30">
        <v>88903.539869999993</v>
      </c>
      <c r="F528" s="30">
        <v>71968.570000000007</v>
      </c>
      <c r="G528" s="31">
        <f t="shared" si="37"/>
        <v>0.16291877374531152</v>
      </c>
      <c r="H528" s="110"/>
      <c r="I528" s="112"/>
      <c r="J528" s="112"/>
      <c r="K528" s="110"/>
      <c r="L528" s="105"/>
      <c r="M528" s="292"/>
    </row>
    <row r="529" spans="1:13" ht="18.95" customHeight="1">
      <c r="A529" s="108"/>
      <c r="B529" s="110"/>
      <c r="C529" s="27" t="s">
        <v>19</v>
      </c>
      <c r="D529" s="28">
        <v>0</v>
      </c>
      <c r="E529" s="30">
        <v>0</v>
      </c>
      <c r="F529" s="30">
        <v>0</v>
      </c>
      <c r="G529" s="31">
        <f t="shared" ref="G529:G591" si="40">IF(D529&lt;&gt;0,F529/D529,0)</f>
        <v>0</v>
      </c>
      <c r="H529" s="110"/>
      <c r="I529" s="112"/>
      <c r="J529" s="112"/>
      <c r="K529" s="110"/>
      <c r="L529" s="105"/>
      <c r="M529" s="292"/>
    </row>
    <row r="530" spans="1:13" ht="18.95" customHeight="1">
      <c r="A530" s="108"/>
      <c r="B530" s="110"/>
      <c r="C530" s="27" t="s">
        <v>21</v>
      </c>
      <c r="D530" s="28">
        <v>0</v>
      </c>
      <c r="E530" s="30">
        <v>0</v>
      </c>
      <c r="F530" s="30">
        <v>0</v>
      </c>
      <c r="G530" s="31">
        <f t="shared" si="40"/>
        <v>0</v>
      </c>
      <c r="H530" s="110"/>
      <c r="I530" s="112"/>
      <c r="J530" s="112"/>
      <c r="K530" s="110"/>
      <c r="L530" s="105"/>
      <c r="M530" s="292"/>
    </row>
    <row r="531" spans="1:13" ht="18.95" customHeight="1">
      <c r="A531" s="108"/>
      <c r="B531" s="110"/>
      <c r="C531" s="27" t="s">
        <v>31</v>
      </c>
      <c r="D531" s="28">
        <v>0</v>
      </c>
      <c r="E531" s="30">
        <v>0</v>
      </c>
      <c r="F531" s="30">
        <v>0</v>
      </c>
      <c r="G531" s="31">
        <f t="shared" si="40"/>
        <v>0</v>
      </c>
      <c r="H531" s="110"/>
      <c r="I531" s="113"/>
      <c r="J531" s="113"/>
      <c r="K531" s="110"/>
      <c r="L531" s="106"/>
      <c r="M531" s="292"/>
    </row>
    <row r="532" spans="1:13" ht="18.95" customHeight="1">
      <c r="A532" s="123" t="s">
        <v>379</v>
      </c>
      <c r="B532" s="123" t="s">
        <v>380</v>
      </c>
      <c r="C532" s="40" t="s">
        <v>14</v>
      </c>
      <c r="D532" s="41">
        <f>SUM(D533:D536)</f>
        <v>41349</v>
      </c>
      <c r="E532" s="42">
        <f>SUM(E533:E536)</f>
        <v>9702.0733199999995</v>
      </c>
      <c r="F532" s="42">
        <f>SUM(F533:F536)</f>
        <v>9536.1</v>
      </c>
      <c r="G532" s="43">
        <f t="shared" si="40"/>
        <v>0.23062468257998986</v>
      </c>
      <c r="H532" s="121" t="s">
        <v>381</v>
      </c>
      <c r="I532" s="65" t="s">
        <v>15</v>
      </c>
      <c r="J532" s="65">
        <f>SUM(J533:J535)</f>
        <v>4</v>
      </c>
      <c r="K532" s="121" t="s">
        <v>382</v>
      </c>
      <c r="L532" s="125"/>
      <c r="M532" s="292">
        <v>805</v>
      </c>
    </row>
    <row r="533" spans="1:13" ht="18.95" customHeight="1">
      <c r="A533" s="124"/>
      <c r="B533" s="124"/>
      <c r="C533" s="40" t="s">
        <v>17</v>
      </c>
      <c r="D533" s="41">
        <f t="shared" ref="D533:F534" si="41">D538+D548+D553+D558+D563+D568+D573+D543</f>
        <v>41349</v>
      </c>
      <c r="E533" s="47">
        <f t="shared" si="41"/>
        <v>9702.0733199999995</v>
      </c>
      <c r="F533" s="47">
        <f t="shared" si="41"/>
        <v>9536.1</v>
      </c>
      <c r="G533" s="45">
        <f t="shared" si="40"/>
        <v>0.23062468257998986</v>
      </c>
      <c r="H533" s="122"/>
      <c r="I533" s="65" t="s">
        <v>18</v>
      </c>
      <c r="J533" s="65">
        <f>COUNTIF($J$537:$J$561,"да")</f>
        <v>1</v>
      </c>
      <c r="K533" s="122"/>
      <c r="L533" s="126"/>
      <c r="M533" s="292"/>
    </row>
    <row r="534" spans="1:13" ht="18.95" customHeight="1">
      <c r="A534" s="124"/>
      <c r="B534" s="124"/>
      <c r="C534" s="40" t="s">
        <v>19</v>
      </c>
      <c r="D534" s="41">
        <f t="shared" si="41"/>
        <v>0</v>
      </c>
      <c r="E534" s="47">
        <f t="shared" si="41"/>
        <v>0</v>
      </c>
      <c r="F534" s="47">
        <f t="shared" si="41"/>
        <v>0</v>
      </c>
      <c r="G534" s="45">
        <f t="shared" si="40"/>
        <v>0</v>
      </c>
      <c r="H534" s="122"/>
      <c r="I534" s="65" t="s">
        <v>20</v>
      </c>
      <c r="J534" s="65">
        <f>COUNTIF($J$537:$J$561,"частично")</f>
        <v>0</v>
      </c>
      <c r="K534" s="122"/>
      <c r="L534" s="126"/>
      <c r="M534" s="292"/>
    </row>
    <row r="535" spans="1:13" ht="18.95" customHeight="1">
      <c r="A535" s="124"/>
      <c r="B535" s="124"/>
      <c r="C535" s="40" t="s">
        <v>21</v>
      </c>
      <c r="D535" s="41">
        <v>0</v>
      </c>
      <c r="E535" s="47">
        <f>E540+E550+E555+E560+E565+E570+E575+E545</f>
        <v>0</v>
      </c>
      <c r="F535" s="47">
        <f>F540+F550+F555+F560+F565+F570+F575+F545</f>
        <v>0</v>
      </c>
      <c r="G535" s="45">
        <f t="shared" si="40"/>
        <v>0</v>
      </c>
      <c r="H535" s="122"/>
      <c r="I535" s="65" t="s">
        <v>22</v>
      </c>
      <c r="J535" s="65">
        <f>COUNTIF($J$537:$J$561,"нет")</f>
        <v>3</v>
      </c>
      <c r="K535" s="122"/>
      <c r="L535" s="126"/>
      <c r="M535" s="292"/>
    </row>
    <row r="536" spans="1:13" ht="18.95" customHeight="1">
      <c r="A536" s="124"/>
      <c r="B536" s="124"/>
      <c r="C536" s="40" t="s">
        <v>31</v>
      </c>
      <c r="D536" s="41">
        <f>D541+D551+D556+D561+D566+D571+D576+D546</f>
        <v>0</v>
      </c>
      <c r="E536" s="47">
        <f>E541+E551+E556+E561+E566+E571+E576+E546</f>
        <v>0</v>
      </c>
      <c r="F536" s="47">
        <f>F541+F551+F556+F561+F566+F571+F576+F546</f>
        <v>0</v>
      </c>
      <c r="G536" s="45">
        <f t="shared" si="40"/>
        <v>0</v>
      </c>
      <c r="H536" s="122"/>
      <c r="I536" s="65" t="s">
        <v>24</v>
      </c>
      <c r="J536" s="66">
        <f>IF(J532=0,0,(J533+J534*0.5)/J532)</f>
        <v>0.25</v>
      </c>
      <c r="K536" s="122"/>
      <c r="L536" s="127"/>
      <c r="M536" s="292"/>
    </row>
    <row r="537" spans="1:13" ht="18.95" customHeight="1">
      <c r="A537" s="107" t="s">
        <v>383</v>
      </c>
      <c r="B537" s="107" t="s">
        <v>384</v>
      </c>
      <c r="C537" s="27" t="s">
        <v>14</v>
      </c>
      <c r="D537" s="32">
        <f>SUM(D538:D541)</f>
        <v>17743.900000000001</v>
      </c>
      <c r="E537" s="30">
        <f>SUM(E538:E541)</f>
        <v>0</v>
      </c>
      <c r="F537" s="30">
        <f>SUM(F538:F541)</f>
        <v>0</v>
      </c>
      <c r="G537" s="29">
        <f t="shared" si="40"/>
        <v>0</v>
      </c>
      <c r="H537" s="109" t="s">
        <v>385</v>
      </c>
      <c r="I537" s="111" t="s">
        <v>773</v>
      </c>
      <c r="J537" s="111" t="s">
        <v>105</v>
      </c>
      <c r="K537" s="109" t="s">
        <v>386</v>
      </c>
      <c r="L537" s="104" t="s">
        <v>806</v>
      </c>
      <c r="M537" s="292">
        <v>807</v>
      </c>
    </row>
    <row r="538" spans="1:13" ht="18.95" customHeight="1">
      <c r="A538" s="108"/>
      <c r="B538" s="108"/>
      <c r="C538" s="27" t="s">
        <v>17</v>
      </c>
      <c r="D538" s="28">
        <v>17743.900000000001</v>
      </c>
      <c r="E538" s="30">
        <v>0</v>
      </c>
      <c r="F538" s="30">
        <v>0</v>
      </c>
      <c r="G538" s="31">
        <f t="shared" si="40"/>
        <v>0</v>
      </c>
      <c r="H538" s="110"/>
      <c r="I538" s="112"/>
      <c r="J538" s="112"/>
      <c r="K538" s="110"/>
      <c r="L538" s="105"/>
      <c r="M538" s="292"/>
    </row>
    <row r="539" spans="1:13" s="3" customFormat="1" ht="18.95" customHeight="1">
      <c r="A539" s="108"/>
      <c r="B539" s="108"/>
      <c r="C539" s="27" t="s">
        <v>19</v>
      </c>
      <c r="D539" s="28">
        <v>0</v>
      </c>
      <c r="E539" s="30">
        <v>0</v>
      </c>
      <c r="F539" s="30">
        <v>0</v>
      </c>
      <c r="G539" s="31">
        <f t="shared" si="40"/>
        <v>0</v>
      </c>
      <c r="H539" s="110"/>
      <c r="I539" s="112"/>
      <c r="J539" s="112"/>
      <c r="K539" s="110"/>
      <c r="L539" s="105"/>
      <c r="M539" s="292"/>
    </row>
    <row r="540" spans="1:13" s="3" customFormat="1" ht="18.95" customHeight="1">
      <c r="A540" s="108"/>
      <c r="B540" s="108"/>
      <c r="C540" s="27" t="s">
        <v>21</v>
      </c>
      <c r="D540" s="28">
        <v>0</v>
      </c>
      <c r="E540" s="30">
        <v>0</v>
      </c>
      <c r="F540" s="30">
        <v>0</v>
      </c>
      <c r="G540" s="31">
        <f t="shared" si="40"/>
        <v>0</v>
      </c>
      <c r="H540" s="110"/>
      <c r="I540" s="112"/>
      <c r="J540" s="112"/>
      <c r="K540" s="110"/>
      <c r="L540" s="105"/>
      <c r="M540" s="292"/>
    </row>
    <row r="541" spans="1:13" s="3" customFormat="1" ht="18.95" customHeight="1">
      <c r="A541" s="108"/>
      <c r="B541" s="108"/>
      <c r="C541" s="27" t="s">
        <v>31</v>
      </c>
      <c r="D541" s="28">
        <v>0</v>
      </c>
      <c r="E541" s="30">
        <v>0</v>
      </c>
      <c r="F541" s="30">
        <v>0</v>
      </c>
      <c r="G541" s="31">
        <f t="shared" si="40"/>
        <v>0</v>
      </c>
      <c r="H541" s="110"/>
      <c r="I541" s="113"/>
      <c r="J541" s="113"/>
      <c r="K541" s="110"/>
      <c r="L541" s="106"/>
      <c r="M541" s="292"/>
    </row>
    <row r="542" spans="1:13" s="3" customFormat="1" ht="18.95" customHeight="1">
      <c r="A542" s="107" t="s">
        <v>387</v>
      </c>
      <c r="B542" s="107" t="s">
        <v>807</v>
      </c>
      <c r="C542" s="27" t="s">
        <v>14</v>
      </c>
      <c r="D542" s="28">
        <f>SUM(D543:D546)</f>
        <v>6600</v>
      </c>
      <c r="E542" s="30">
        <f>SUM(E543:E546)</f>
        <v>0</v>
      </c>
      <c r="F542" s="30">
        <f>SUM(F543:F546)</f>
        <v>0</v>
      </c>
      <c r="G542" s="29">
        <f t="shared" si="40"/>
        <v>0</v>
      </c>
      <c r="H542" s="109" t="s">
        <v>385</v>
      </c>
      <c r="I542" s="111" t="s">
        <v>734</v>
      </c>
      <c r="J542" s="111" t="s">
        <v>105</v>
      </c>
      <c r="K542" s="109" t="s">
        <v>389</v>
      </c>
      <c r="L542" s="104" t="s">
        <v>808</v>
      </c>
      <c r="M542" s="292">
        <v>807</v>
      </c>
    </row>
    <row r="543" spans="1:13" s="3" customFormat="1" ht="18.95" customHeight="1">
      <c r="A543" s="108"/>
      <c r="B543" s="108"/>
      <c r="C543" s="27" t="s">
        <v>17</v>
      </c>
      <c r="D543" s="28">
        <v>6600</v>
      </c>
      <c r="E543" s="30">
        <v>0</v>
      </c>
      <c r="F543" s="30">
        <v>0</v>
      </c>
      <c r="G543" s="31">
        <f t="shared" si="40"/>
        <v>0</v>
      </c>
      <c r="H543" s="110"/>
      <c r="I543" s="112"/>
      <c r="J543" s="112"/>
      <c r="K543" s="110"/>
      <c r="L543" s="105"/>
      <c r="M543" s="292"/>
    </row>
    <row r="544" spans="1:13" s="3" customFormat="1" ht="18.95" customHeight="1">
      <c r="A544" s="108"/>
      <c r="B544" s="108"/>
      <c r="C544" s="27" t="s">
        <v>19</v>
      </c>
      <c r="D544" s="28">
        <v>0</v>
      </c>
      <c r="E544" s="30">
        <v>0</v>
      </c>
      <c r="F544" s="30">
        <v>0</v>
      </c>
      <c r="G544" s="31">
        <f t="shared" si="40"/>
        <v>0</v>
      </c>
      <c r="H544" s="110"/>
      <c r="I544" s="112"/>
      <c r="J544" s="112"/>
      <c r="K544" s="110"/>
      <c r="L544" s="105"/>
      <c r="M544" s="292"/>
    </row>
    <row r="545" spans="1:13" s="3" customFormat="1" ht="18.95" customHeight="1">
      <c r="A545" s="108"/>
      <c r="B545" s="108"/>
      <c r="C545" s="27" t="s">
        <v>21</v>
      </c>
      <c r="D545" s="28">
        <v>0</v>
      </c>
      <c r="E545" s="30">
        <v>0</v>
      </c>
      <c r="F545" s="30">
        <v>0</v>
      </c>
      <c r="G545" s="31">
        <f t="shared" si="40"/>
        <v>0</v>
      </c>
      <c r="H545" s="110"/>
      <c r="I545" s="112"/>
      <c r="J545" s="112"/>
      <c r="K545" s="110"/>
      <c r="L545" s="105"/>
      <c r="M545" s="292"/>
    </row>
    <row r="546" spans="1:13" s="3" customFormat="1" ht="18.75" customHeight="1">
      <c r="A546" s="108"/>
      <c r="B546" s="108"/>
      <c r="C546" s="27" t="s">
        <v>31</v>
      </c>
      <c r="D546" s="28">
        <v>0</v>
      </c>
      <c r="E546" s="30">
        <v>0</v>
      </c>
      <c r="F546" s="30">
        <v>0</v>
      </c>
      <c r="G546" s="31">
        <f t="shared" si="40"/>
        <v>0</v>
      </c>
      <c r="H546" s="110"/>
      <c r="I546" s="113"/>
      <c r="J546" s="113"/>
      <c r="K546" s="110"/>
      <c r="L546" s="106"/>
      <c r="M546" s="292"/>
    </row>
    <row r="547" spans="1:13" s="3" customFormat="1" ht="18" hidden="1" customHeight="1">
      <c r="A547" s="107" t="s">
        <v>390</v>
      </c>
      <c r="B547" s="107" t="s">
        <v>391</v>
      </c>
      <c r="C547" s="27" t="s">
        <v>14</v>
      </c>
      <c r="D547" s="28">
        <f>SUM(D548:D551)</f>
        <v>0</v>
      </c>
      <c r="E547" s="30">
        <f>SUM(E548:E551)</f>
        <v>0</v>
      </c>
      <c r="F547" s="30">
        <f>SUM(F548:F551)</f>
        <v>0</v>
      </c>
      <c r="G547" s="29">
        <f t="shared" si="40"/>
        <v>0</v>
      </c>
      <c r="H547" s="109" t="s">
        <v>392</v>
      </c>
      <c r="I547" s="111"/>
      <c r="J547" s="111"/>
      <c r="K547" s="109" t="s">
        <v>393</v>
      </c>
      <c r="L547" s="104"/>
      <c r="M547" s="1"/>
    </row>
    <row r="548" spans="1:13" s="3" customFormat="1" ht="17.25" hidden="1" customHeight="1">
      <c r="A548" s="108"/>
      <c r="B548" s="108"/>
      <c r="C548" s="27" t="s">
        <v>17</v>
      </c>
      <c r="D548" s="28">
        <v>0</v>
      </c>
      <c r="E548" s="30">
        <v>0</v>
      </c>
      <c r="F548" s="30">
        <v>0</v>
      </c>
      <c r="G548" s="31">
        <f t="shared" si="40"/>
        <v>0</v>
      </c>
      <c r="H548" s="110"/>
      <c r="I548" s="112"/>
      <c r="J548" s="112"/>
      <c r="K548" s="110"/>
      <c r="L548" s="105"/>
      <c r="M548" s="1"/>
    </row>
    <row r="549" spans="1:13" s="3" customFormat="1" ht="19.5" hidden="1" customHeight="1">
      <c r="A549" s="108"/>
      <c r="B549" s="108"/>
      <c r="C549" s="27" t="s">
        <v>19</v>
      </c>
      <c r="D549" s="28">
        <v>0</v>
      </c>
      <c r="E549" s="30">
        <v>0</v>
      </c>
      <c r="F549" s="30">
        <v>0</v>
      </c>
      <c r="G549" s="31">
        <f t="shared" si="40"/>
        <v>0</v>
      </c>
      <c r="H549" s="110"/>
      <c r="I549" s="112"/>
      <c r="J549" s="112"/>
      <c r="K549" s="110"/>
      <c r="L549" s="105"/>
      <c r="M549" s="1"/>
    </row>
    <row r="550" spans="1:13" s="3" customFormat="1" ht="17.25" hidden="1" customHeight="1">
      <c r="A550" s="108"/>
      <c r="B550" s="108"/>
      <c r="C550" s="27" t="s">
        <v>21</v>
      </c>
      <c r="D550" s="28">
        <v>0</v>
      </c>
      <c r="E550" s="30">
        <v>0</v>
      </c>
      <c r="F550" s="30">
        <v>0</v>
      </c>
      <c r="G550" s="31">
        <f t="shared" si="40"/>
        <v>0</v>
      </c>
      <c r="H550" s="110"/>
      <c r="I550" s="112"/>
      <c r="J550" s="112"/>
      <c r="K550" s="110"/>
      <c r="L550" s="105"/>
      <c r="M550" s="1"/>
    </row>
    <row r="551" spans="1:13" s="3" customFormat="1" ht="12.75" hidden="1" customHeight="1">
      <c r="A551" s="108"/>
      <c r="B551" s="108"/>
      <c r="C551" s="27" t="s">
        <v>31</v>
      </c>
      <c r="D551" s="28">
        <v>0</v>
      </c>
      <c r="E551" s="30">
        <v>0</v>
      </c>
      <c r="F551" s="30">
        <v>0</v>
      </c>
      <c r="G551" s="31">
        <f t="shared" si="40"/>
        <v>0</v>
      </c>
      <c r="H551" s="110"/>
      <c r="I551" s="113"/>
      <c r="J551" s="113"/>
      <c r="K551" s="110"/>
      <c r="L551" s="106"/>
      <c r="M551" s="1"/>
    </row>
    <row r="552" spans="1:13" s="3" customFormat="1" ht="18.95" customHeight="1">
      <c r="A552" s="107" t="s">
        <v>394</v>
      </c>
      <c r="B552" s="107" t="s">
        <v>395</v>
      </c>
      <c r="C552" s="27" t="s">
        <v>14</v>
      </c>
      <c r="D552" s="28">
        <f>SUM(D553:D556)</f>
        <v>8500</v>
      </c>
      <c r="E552" s="30">
        <f>SUM(E553:E556)</f>
        <v>1196.9733200000001</v>
      </c>
      <c r="F552" s="30">
        <f>SUM(F553:F556)</f>
        <v>1031</v>
      </c>
      <c r="G552" s="29">
        <f t="shared" si="40"/>
        <v>0.12129411764705883</v>
      </c>
      <c r="H552" s="109" t="s">
        <v>396</v>
      </c>
      <c r="I552" s="128" t="s">
        <v>820</v>
      </c>
      <c r="J552" s="111" t="s">
        <v>105</v>
      </c>
      <c r="K552" s="109" t="s">
        <v>393</v>
      </c>
      <c r="L552" s="104" t="s">
        <v>809</v>
      </c>
      <c r="M552" s="292">
        <v>805</v>
      </c>
    </row>
    <row r="553" spans="1:13" s="3" customFormat="1" ht="18.95" customHeight="1">
      <c r="A553" s="108"/>
      <c r="B553" s="108"/>
      <c r="C553" s="27" t="s">
        <v>17</v>
      </c>
      <c r="D553" s="28">
        <v>8500</v>
      </c>
      <c r="E553" s="71">
        <v>1196.9733200000001</v>
      </c>
      <c r="F553" s="30">
        <v>1031</v>
      </c>
      <c r="G553" s="31">
        <f t="shared" si="40"/>
        <v>0.12129411764705883</v>
      </c>
      <c r="H553" s="110"/>
      <c r="I553" s="129"/>
      <c r="J553" s="112"/>
      <c r="K553" s="110"/>
      <c r="L553" s="105"/>
      <c r="M553" s="292"/>
    </row>
    <row r="554" spans="1:13" s="3" customFormat="1" ht="18.95" customHeight="1">
      <c r="A554" s="108"/>
      <c r="B554" s="108"/>
      <c r="C554" s="27" t="s">
        <v>19</v>
      </c>
      <c r="D554" s="28">
        <v>0</v>
      </c>
      <c r="E554" s="30">
        <v>0</v>
      </c>
      <c r="F554" s="30">
        <v>0</v>
      </c>
      <c r="G554" s="31">
        <f t="shared" si="40"/>
        <v>0</v>
      </c>
      <c r="H554" s="110"/>
      <c r="I554" s="129"/>
      <c r="J554" s="112"/>
      <c r="K554" s="110"/>
      <c r="L554" s="105"/>
      <c r="M554" s="292"/>
    </row>
    <row r="555" spans="1:13" s="3" customFormat="1" ht="18.95" customHeight="1">
      <c r="A555" s="108"/>
      <c r="B555" s="108"/>
      <c r="C555" s="27" t="s">
        <v>21</v>
      </c>
      <c r="D555" s="28">
        <v>0</v>
      </c>
      <c r="E555" s="30">
        <v>0</v>
      </c>
      <c r="F555" s="30">
        <v>0</v>
      </c>
      <c r="G555" s="31">
        <f t="shared" si="40"/>
        <v>0</v>
      </c>
      <c r="H555" s="110"/>
      <c r="I555" s="129"/>
      <c r="J555" s="112"/>
      <c r="K555" s="110"/>
      <c r="L555" s="105"/>
      <c r="M555" s="292"/>
    </row>
    <row r="556" spans="1:13" s="3" customFormat="1" ht="18.95" customHeight="1">
      <c r="A556" s="108"/>
      <c r="B556" s="108"/>
      <c r="C556" s="27" t="s">
        <v>31</v>
      </c>
      <c r="D556" s="28">
        <v>0</v>
      </c>
      <c r="E556" s="30">
        <v>0</v>
      </c>
      <c r="F556" s="30">
        <v>0</v>
      </c>
      <c r="G556" s="31">
        <f t="shared" si="40"/>
        <v>0</v>
      </c>
      <c r="H556" s="110"/>
      <c r="I556" s="130"/>
      <c r="J556" s="113"/>
      <c r="K556" s="110"/>
      <c r="L556" s="106"/>
      <c r="M556" s="292"/>
    </row>
    <row r="557" spans="1:13" s="3" customFormat="1" ht="18.95" customHeight="1">
      <c r="A557" s="107" t="s">
        <v>397</v>
      </c>
      <c r="B557" s="107" t="s">
        <v>398</v>
      </c>
      <c r="C557" s="27" t="s">
        <v>14</v>
      </c>
      <c r="D557" s="28">
        <f>SUM(D558:D561)</f>
        <v>8505.1</v>
      </c>
      <c r="E557" s="30">
        <f>SUM(E558:E561)</f>
        <v>8505.1</v>
      </c>
      <c r="F557" s="30">
        <f>SUM(F558:F561)</f>
        <v>8505.1</v>
      </c>
      <c r="G557" s="29">
        <f t="shared" si="40"/>
        <v>1</v>
      </c>
      <c r="H557" s="109" t="s">
        <v>399</v>
      </c>
      <c r="I557" s="131" t="s">
        <v>810</v>
      </c>
      <c r="J557" s="111" t="s">
        <v>702</v>
      </c>
      <c r="K557" s="109" t="s">
        <v>351</v>
      </c>
      <c r="L557" s="104" t="s">
        <v>717</v>
      </c>
      <c r="M557" s="292">
        <v>807</v>
      </c>
    </row>
    <row r="558" spans="1:13" s="3" customFormat="1" ht="18.95" customHeight="1">
      <c r="A558" s="108"/>
      <c r="B558" s="108"/>
      <c r="C558" s="27" t="s">
        <v>17</v>
      </c>
      <c r="D558" s="28">
        <v>8505.1</v>
      </c>
      <c r="E558" s="30">
        <v>8505.1</v>
      </c>
      <c r="F558" s="30">
        <v>8505.1</v>
      </c>
      <c r="G558" s="31">
        <f t="shared" si="40"/>
        <v>1</v>
      </c>
      <c r="H558" s="110"/>
      <c r="I558" s="132"/>
      <c r="J558" s="112"/>
      <c r="K558" s="110"/>
      <c r="L558" s="105"/>
      <c r="M558" s="292"/>
    </row>
    <row r="559" spans="1:13" s="3" customFormat="1" ht="18.95" customHeight="1">
      <c r="A559" s="108"/>
      <c r="B559" s="108"/>
      <c r="C559" s="27" t="s">
        <v>19</v>
      </c>
      <c r="D559" s="28">
        <v>0</v>
      </c>
      <c r="E559" s="30">
        <v>0</v>
      </c>
      <c r="F559" s="30">
        <v>0</v>
      </c>
      <c r="G559" s="31">
        <f t="shared" si="40"/>
        <v>0</v>
      </c>
      <c r="H559" s="110"/>
      <c r="I559" s="132"/>
      <c r="J559" s="112"/>
      <c r="K559" s="110"/>
      <c r="L559" s="105"/>
      <c r="M559" s="292"/>
    </row>
    <row r="560" spans="1:13" s="3" customFormat="1" ht="18.95" customHeight="1">
      <c r="A560" s="108"/>
      <c r="B560" s="108"/>
      <c r="C560" s="27" t="s">
        <v>21</v>
      </c>
      <c r="D560" s="28">
        <v>0</v>
      </c>
      <c r="E560" s="30">
        <v>0</v>
      </c>
      <c r="F560" s="30">
        <v>0</v>
      </c>
      <c r="G560" s="31">
        <f t="shared" si="40"/>
        <v>0</v>
      </c>
      <c r="H560" s="110"/>
      <c r="I560" s="132"/>
      <c r="J560" s="112"/>
      <c r="K560" s="110"/>
      <c r="L560" s="105"/>
      <c r="M560" s="292"/>
    </row>
    <row r="561" spans="1:13" s="3" customFormat="1" ht="18.75" customHeight="1">
      <c r="A561" s="108"/>
      <c r="B561" s="108"/>
      <c r="C561" s="27" t="s">
        <v>31</v>
      </c>
      <c r="D561" s="28">
        <v>0</v>
      </c>
      <c r="E561" s="30">
        <v>0</v>
      </c>
      <c r="F561" s="30">
        <v>0</v>
      </c>
      <c r="G561" s="31">
        <f t="shared" si="40"/>
        <v>0</v>
      </c>
      <c r="H561" s="110"/>
      <c r="I561" s="133"/>
      <c r="J561" s="113"/>
      <c r="K561" s="110"/>
      <c r="L561" s="106"/>
      <c r="M561" s="292"/>
    </row>
    <row r="562" spans="1:13" s="3" customFormat="1" ht="18.95" hidden="1" customHeight="1">
      <c r="A562" s="107" t="s">
        <v>400</v>
      </c>
      <c r="B562" s="107" t="s">
        <v>401</v>
      </c>
      <c r="C562" s="27" t="s">
        <v>14</v>
      </c>
      <c r="D562" s="28">
        <f>SUM(D563:D566)</f>
        <v>0</v>
      </c>
      <c r="E562" s="30">
        <f>SUM(E563:E566)</f>
        <v>0</v>
      </c>
      <c r="F562" s="30">
        <f>SUM(F563:F566)</f>
        <v>0</v>
      </c>
      <c r="G562" s="29">
        <f t="shared" si="40"/>
        <v>0</v>
      </c>
      <c r="H562" s="109" t="s">
        <v>402</v>
      </c>
      <c r="I562" s="111"/>
      <c r="J562" s="111"/>
      <c r="K562" s="109" t="s">
        <v>393</v>
      </c>
      <c r="L562" s="104"/>
      <c r="M562" s="1"/>
    </row>
    <row r="563" spans="1:13" s="3" customFormat="1" ht="18.95" hidden="1" customHeight="1">
      <c r="A563" s="108"/>
      <c r="B563" s="108"/>
      <c r="C563" s="27" t="s">
        <v>17</v>
      </c>
      <c r="D563" s="28">
        <v>0</v>
      </c>
      <c r="E563" s="30">
        <v>0</v>
      </c>
      <c r="F563" s="30">
        <v>0</v>
      </c>
      <c r="G563" s="31">
        <f t="shared" si="40"/>
        <v>0</v>
      </c>
      <c r="H563" s="110"/>
      <c r="I563" s="112"/>
      <c r="J563" s="112"/>
      <c r="K563" s="110"/>
      <c r="L563" s="105"/>
      <c r="M563" s="1"/>
    </row>
    <row r="564" spans="1:13" s="3" customFormat="1" ht="18.95" hidden="1" customHeight="1">
      <c r="A564" s="108"/>
      <c r="B564" s="108"/>
      <c r="C564" s="27" t="s">
        <v>19</v>
      </c>
      <c r="D564" s="28">
        <v>0</v>
      </c>
      <c r="E564" s="30">
        <v>0</v>
      </c>
      <c r="F564" s="30">
        <v>0</v>
      </c>
      <c r="G564" s="31">
        <f t="shared" si="40"/>
        <v>0</v>
      </c>
      <c r="H564" s="110"/>
      <c r="I564" s="112"/>
      <c r="J564" s="112"/>
      <c r="K564" s="110"/>
      <c r="L564" s="105"/>
      <c r="M564" s="1"/>
    </row>
    <row r="565" spans="1:13" s="3" customFormat="1" ht="18.95" hidden="1" customHeight="1">
      <c r="A565" s="108"/>
      <c r="B565" s="108"/>
      <c r="C565" s="27" t="s">
        <v>21</v>
      </c>
      <c r="D565" s="28">
        <v>0</v>
      </c>
      <c r="E565" s="30">
        <v>0</v>
      </c>
      <c r="F565" s="30">
        <v>0</v>
      </c>
      <c r="G565" s="31">
        <f t="shared" si="40"/>
        <v>0</v>
      </c>
      <c r="H565" s="110"/>
      <c r="I565" s="112"/>
      <c r="J565" s="112"/>
      <c r="K565" s="110"/>
      <c r="L565" s="105"/>
      <c r="M565" s="1"/>
    </row>
    <row r="566" spans="1:13" s="3" customFormat="1" ht="18.95" hidden="1" customHeight="1">
      <c r="A566" s="108"/>
      <c r="B566" s="108"/>
      <c r="C566" s="27" t="s">
        <v>31</v>
      </c>
      <c r="D566" s="28">
        <v>0</v>
      </c>
      <c r="E566" s="30">
        <v>0</v>
      </c>
      <c r="F566" s="30">
        <v>0</v>
      </c>
      <c r="G566" s="31">
        <f t="shared" si="40"/>
        <v>0</v>
      </c>
      <c r="H566" s="110"/>
      <c r="I566" s="113"/>
      <c r="J566" s="113"/>
      <c r="K566" s="110"/>
      <c r="L566" s="106"/>
      <c r="M566" s="1"/>
    </row>
    <row r="567" spans="1:13" s="3" customFormat="1" ht="18.95" hidden="1" customHeight="1">
      <c r="A567" s="107" t="s">
        <v>403</v>
      </c>
      <c r="B567" s="107" t="s">
        <v>404</v>
      </c>
      <c r="C567" s="27" t="s">
        <v>14</v>
      </c>
      <c r="D567" s="28">
        <f>SUM(D568:D571)</f>
        <v>0</v>
      </c>
      <c r="E567" s="30">
        <f>SUM(E568:E571)</f>
        <v>0</v>
      </c>
      <c r="F567" s="30">
        <f>SUM(F568:F571)</f>
        <v>0</v>
      </c>
      <c r="G567" s="29">
        <f t="shared" si="40"/>
        <v>0</v>
      </c>
      <c r="H567" s="109" t="s">
        <v>405</v>
      </c>
      <c r="I567" s="111"/>
      <c r="J567" s="111"/>
      <c r="K567" s="109" t="s">
        <v>393</v>
      </c>
      <c r="L567" s="104"/>
      <c r="M567" s="1"/>
    </row>
    <row r="568" spans="1:13" s="3" customFormat="1" ht="18.95" hidden="1" customHeight="1">
      <c r="A568" s="108"/>
      <c r="B568" s="108"/>
      <c r="C568" s="27" t="s">
        <v>17</v>
      </c>
      <c r="D568" s="28">
        <v>0</v>
      </c>
      <c r="E568" s="30">
        <v>0</v>
      </c>
      <c r="F568" s="30">
        <v>0</v>
      </c>
      <c r="G568" s="31">
        <f t="shared" si="40"/>
        <v>0</v>
      </c>
      <c r="H568" s="110"/>
      <c r="I568" s="112"/>
      <c r="J568" s="112"/>
      <c r="K568" s="110"/>
      <c r="L568" s="105"/>
      <c r="M568" s="1"/>
    </row>
    <row r="569" spans="1:13" s="3" customFormat="1" ht="18.95" hidden="1" customHeight="1">
      <c r="A569" s="108"/>
      <c r="B569" s="108"/>
      <c r="C569" s="27" t="s">
        <v>19</v>
      </c>
      <c r="D569" s="28">
        <v>0</v>
      </c>
      <c r="E569" s="30">
        <v>0</v>
      </c>
      <c r="F569" s="30">
        <v>0</v>
      </c>
      <c r="G569" s="31">
        <f t="shared" si="40"/>
        <v>0</v>
      </c>
      <c r="H569" s="110"/>
      <c r="I569" s="112"/>
      <c r="J569" s="112"/>
      <c r="K569" s="110"/>
      <c r="L569" s="105"/>
      <c r="M569" s="1"/>
    </row>
    <row r="570" spans="1:13" s="3" customFormat="1" ht="18.95" hidden="1" customHeight="1">
      <c r="A570" s="108"/>
      <c r="B570" s="108"/>
      <c r="C570" s="27" t="s">
        <v>21</v>
      </c>
      <c r="D570" s="28">
        <v>0</v>
      </c>
      <c r="E570" s="30">
        <v>0</v>
      </c>
      <c r="F570" s="30">
        <v>0</v>
      </c>
      <c r="G570" s="31">
        <f t="shared" si="40"/>
        <v>0</v>
      </c>
      <c r="H570" s="110"/>
      <c r="I570" s="112"/>
      <c r="J570" s="112"/>
      <c r="K570" s="110"/>
      <c r="L570" s="105"/>
      <c r="M570" s="1"/>
    </row>
    <row r="571" spans="1:13" s="3" customFormat="1" ht="18.95" hidden="1" customHeight="1">
      <c r="A571" s="108"/>
      <c r="B571" s="108"/>
      <c r="C571" s="27" t="s">
        <v>31</v>
      </c>
      <c r="D571" s="28">
        <v>0</v>
      </c>
      <c r="E571" s="30">
        <v>0</v>
      </c>
      <c r="F571" s="30">
        <v>0</v>
      </c>
      <c r="G571" s="31">
        <f t="shared" si="40"/>
        <v>0</v>
      </c>
      <c r="H571" s="110"/>
      <c r="I571" s="113"/>
      <c r="J571" s="113"/>
      <c r="K571" s="110"/>
      <c r="L571" s="106"/>
      <c r="M571" s="1"/>
    </row>
    <row r="572" spans="1:13" s="3" customFormat="1" ht="20.25" hidden="1" customHeight="1">
      <c r="A572" s="107" t="s">
        <v>406</v>
      </c>
      <c r="B572" s="107" t="s">
        <v>407</v>
      </c>
      <c r="C572" s="27" t="s">
        <v>14</v>
      </c>
      <c r="D572" s="28">
        <f>SUM(D573:D576)</f>
        <v>0</v>
      </c>
      <c r="E572" s="30">
        <f>SUM(E573:E576)</f>
        <v>0</v>
      </c>
      <c r="F572" s="30">
        <f>SUM(F573:F576)</f>
        <v>0</v>
      </c>
      <c r="G572" s="29">
        <f t="shared" si="40"/>
        <v>0</v>
      </c>
      <c r="H572" s="109" t="s">
        <v>408</v>
      </c>
      <c r="I572" s="111"/>
      <c r="J572" s="111"/>
      <c r="K572" s="109" t="s">
        <v>393</v>
      </c>
      <c r="L572" s="104" t="s">
        <v>409</v>
      </c>
      <c r="M572" s="1"/>
    </row>
    <row r="573" spans="1:13" s="3" customFormat="1" ht="21" hidden="1" customHeight="1">
      <c r="A573" s="108"/>
      <c r="B573" s="108"/>
      <c r="C573" s="27" t="s">
        <v>17</v>
      </c>
      <c r="D573" s="28">
        <v>0</v>
      </c>
      <c r="E573" s="30">
        <v>0</v>
      </c>
      <c r="F573" s="30">
        <v>0</v>
      </c>
      <c r="G573" s="31">
        <f t="shared" si="40"/>
        <v>0</v>
      </c>
      <c r="H573" s="110"/>
      <c r="I573" s="112"/>
      <c r="J573" s="112"/>
      <c r="K573" s="110"/>
      <c r="L573" s="105"/>
      <c r="M573" s="1"/>
    </row>
    <row r="574" spans="1:13" s="3" customFormat="1" ht="19.5" hidden="1" customHeight="1">
      <c r="A574" s="108"/>
      <c r="B574" s="108"/>
      <c r="C574" s="27" t="s">
        <v>19</v>
      </c>
      <c r="D574" s="28">
        <v>0</v>
      </c>
      <c r="E574" s="30">
        <v>0</v>
      </c>
      <c r="F574" s="30">
        <v>0</v>
      </c>
      <c r="G574" s="31">
        <f t="shared" si="40"/>
        <v>0</v>
      </c>
      <c r="H574" s="110"/>
      <c r="I574" s="112"/>
      <c r="J574" s="112"/>
      <c r="K574" s="110"/>
      <c r="L574" s="105"/>
      <c r="M574" s="1"/>
    </row>
    <row r="575" spans="1:13" s="3" customFormat="1" ht="20.25" hidden="1" customHeight="1">
      <c r="A575" s="108"/>
      <c r="B575" s="108"/>
      <c r="C575" s="27" t="s">
        <v>21</v>
      </c>
      <c r="D575" s="28">
        <v>0</v>
      </c>
      <c r="E575" s="30">
        <v>0</v>
      </c>
      <c r="F575" s="30">
        <v>0</v>
      </c>
      <c r="G575" s="31">
        <f t="shared" si="40"/>
        <v>0</v>
      </c>
      <c r="H575" s="110"/>
      <c r="I575" s="112"/>
      <c r="J575" s="112"/>
      <c r="K575" s="110"/>
      <c r="L575" s="105"/>
      <c r="M575" s="1"/>
    </row>
    <row r="576" spans="1:13" s="3" customFormat="1" ht="22.5" hidden="1" customHeight="1">
      <c r="A576" s="108"/>
      <c r="B576" s="108"/>
      <c r="C576" s="27" t="s">
        <v>31</v>
      </c>
      <c r="D576" s="28">
        <v>0</v>
      </c>
      <c r="E576" s="30">
        <v>0</v>
      </c>
      <c r="F576" s="30">
        <v>0</v>
      </c>
      <c r="G576" s="31">
        <f t="shared" si="40"/>
        <v>0</v>
      </c>
      <c r="H576" s="110"/>
      <c r="I576" s="113"/>
      <c r="J576" s="113"/>
      <c r="K576" s="110"/>
      <c r="L576" s="106"/>
      <c r="M576" s="1"/>
    </row>
    <row r="577" spans="1:13" s="3" customFormat="1" ht="18.95" customHeight="1">
      <c r="A577" s="123" t="s">
        <v>410</v>
      </c>
      <c r="B577" s="121" t="s">
        <v>411</v>
      </c>
      <c r="C577" s="40" t="s">
        <v>14</v>
      </c>
      <c r="D577" s="41">
        <f>SUM(D578:D581)</f>
        <v>48000</v>
      </c>
      <c r="E577" s="42">
        <f>SUM(E578:E581)</f>
        <v>0</v>
      </c>
      <c r="F577" s="42">
        <f>SUM(F578:F581)</f>
        <v>0</v>
      </c>
      <c r="G577" s="43">
        <f>IF(D577&lt;&gt;0,F577/D577,0)</f>
        <v>0</v>
      </c>
      <c r="H577" s="121"/>
      <c r="I577" s="65" t="s">
        <v>15</v>
      </c>
      <c r="J577" s="65">
        <v>2</v>
      </c>
      <c r="K577" s="121" t="s">
        <v>351</v>
      </c>
      <c r="L577" s="125"/>
      <c r="M577" s="292">
        <v>807</v>
      </c>
    </row>
    <row r="578" spans="1:13" s="3" customFormat="1" ht="18.95" customHeight="1">
      <c r="A578" s="124"/>
      <c r="B578" s="122"/>
      <c r="C578" s="40" t="s">
        <v>17</v>
      </c>
      <c r="D578" s="41">
        <f t="shared" ref="D578:F579" si="42">D583+D588+D593</f>
        <v>48000</v>
      </c>
      <c r="E578" s="47">
        <f t="shared" si="42"/>
        <v>0</v>
      </c>
      <c r="F578" s="47">
        <f t="shared" si="42"/>
        <v>0</v>
      </c>
      <c r="G578" s="45">
        <f>IF(D578&lt;&gt;0,F578/D578,0)</f>
        <v>0</v>
      </c>
      <c r="H578" s="122"/>
      <c r="I578" s="65" t="s">
        <v>18</v>
      </c>
      <c r="J578" s="65">
        <v>0</v>
      </c>
      <c r="K578" s="122"/>
      <c r="L578" s="126"/>
      <c r="M578" s="292"/>
    </row>
    <row r="579" spans="1:13" s="3" customFormat="1" ht="18.95" customHeight="1">
      <c r="A579" s="124"/>
      <c r="B579" s="122"/>
      <c r="C579" s="40" t="s">
        <v>19</v>
      </c>
      <c r="D579" s="41">
        <f t="shared" si="42"/>
        <v>0</v>
      </c>
      <c r="E579" s="47">
        <f t="shared" si="42"/>
        <v>0</v>
      </c>
      <c r="F579" s="47">
        <f t="shared" si="42"/>
        <v>0</v>
      </c>
      <c r="G579" s="45">
        <f>IF(D579&lt;&gt;0,F579/D579,0)</f>
        <v>0</v>
      </c>
      <c r="H579" s="122"/>
      <c r="I579" s="65" t="s">
        <v>20</v>
      </c>
      <c r="J579" s="65">
        <v>0</v>
      </c>
      <c r="K579" s="122"/>
      <c r="L579" s="126"/>
      <c r="M579" s="292"/>
    </row>
    <row r="580" spans="1:13" s="3" customFormat="1" ht="18.95" customHeight="1">
      <c r="A580" s="124"/>
      <c r="B580" s="122"/>
      <c r="C580" s="40" t="s">
        <v>21</v>
      </c>
      <c r="D580" s="41">
        <v>0</v>
      </c>
      <c r="E580" s="47">
        <f>E585+E590+E595</f>
        <v>0</v>
      </c>
      <c r="F580" s="47">
        <f>F585+F590+F595</f>
        <v>0</v>
      </c>
      <c r="G580" s="45">
        <f>IF(D580&lt;&gt;0,F580/D580,0)</f>
        <v>0</v>
      </c>
      <c r="H580" s="122"/>
      <c r="I580" s="65" t="s">
        <v>22</v>
      </c>
      <c r="J580" s="65">
        <v>2</v>
      </c>
      <c r="K580" s="122"/>
      <c r="L580" s="126"/>
      <c r="M580" s="292"/>
    </row>
    <row r="581" spans="1:13" s="3" customFormat="1" ht="18.95" customHeight="1">
      <c r="A581" s="124"/>
      <c r="B581" s="122"/>
      <c r="C581" s="40" t="s">
        <v>31</v>
      </c>
      <c r="D581" s="41">
        <f>D586+D591+D596</f>
        <v>0</v>
      </c>
      <c r="E581" s="47">
        <f>E586+E591+E596</f>
        <v>0</v>
      </c>
      <c r="F581" s="47">
        <f>F586+F591+F596</f>
        <v>0</v>
      </c>
      <c r="G581" s="45">
        <f>IF(D581&lt;&gt;0,F581/D581,0)</f>
        <v>0</v>
      </c>
      <c r="H581" s="122"/>
      <c r="I581" s="65" t="s">
        <v>24</v>
      </c>
      <c r="J581" s="66">
        <f>IF(J577=0,0,(J578+J579*0.5)/J577)</f>
        <v>0</v>
      </c>
      <c r="K581" s="122"/>
      <c r="L581" s="127"/>
      <c r="M581" s="292"/>
    </row>
    <row r="582" spans="1:13" s="3" customFormat="1" ht="18.95" customHeight="1">
      <c r="A582" s="107" t="s">
        <v>412</v>
      </c>
      <c r="B582" s="107" t="s">
        <v>413</v>
      </c>
      <c r="C582" s="27" t="s">
        <v>14</v>
      </c>
      <c r="D582" s="28">
        <f>SUM(D583:D586)</f>
        <v>28000</v>
      </c>
      <c r="E582" s="30">
        <f>SUM(E583:E586)</f>
        <v>0</v>
      </c>
      <c r="F582" s="30">
        <f>SUM(F583:F586)</f>
        <v>0</v>
      </c>
      <c r="G582" s="29">
        <f t="shared" si="40"/>
        <v>0</v>
      </c>
      <c r="H582" s="109" t="s">
        <v>414</v>
      </c>
      <c r="I582" s="128" t="s">
        <v>821</v>
      </c>
      <c r="J582" s="111" t="s">
        <v>105</v>
      </c>
      <c r="K582" s="109" t="s">
        <v>351</v>
      </c>
      <c r="L582" s="104" t="s">
        <v>736</v>
      </c>
      <c r="M582" s="292">
        <v>807</v>
      </c>
    </row>
    <row r="583" spans="1:13" s="3" customFormat="1" ht="18.95" customHeight="1">
      <c r="A583" s="108"/>
      <c r="B583" s="108"/>
      <c r="C583" s="27" t="s">
        <v>17</v>
      </c>
      <c r="D583" s="28">
        <v>28000</v>
      </c>
      <c r="E583" s="30">
        <v>0</v>
      </c>
      <c r="F583" s="30">
        <v>0</v>
      </c>
      <c r="G583" s="31">
        <f t="shared" si="40"/>
        <v>0</v>
      </c>
      <c r="H583" s="110"/>
      <c r="I583" s="129"/>
      <c r="J583" s="112"/>
      <c r="K583" s="110"/>
      <c r="L583" s="105"/>
      <c r="M583" s="292"/>
    </row>
    <row r="584" spans="1:13" s="3" customFormat="1" ht="18.95" customHeight="1">
      <c r="A584" s="108"/>
      <c r="B584" s="108"/>
      <c r="C584" s="27" t="s">
        <v>19</v>
      </c>
      <c r="D584" s="28">
        <v>0</v>
      </c>
      <c r="E584" s="30">
        <v>0</v>
      </c>
      <c r="F584" s="30">
        <v>0</v>
      </c>
      <c r="G584" s="31">
        <f t="shared" si="40"/>
        <v>0</v>
      </c>
      <c r="H584" s="110"/>
      <c r="I584" s="129"/>
      <c r="J584" s="112"/>
      <c r="K584" s="110"/>
      <c r="L584" s="105"/>
      <c r="M584" s="292"/>
    </row>
    <row r="585" spans="1:13" s="3" customFormat="1" ht="18.95" customHeight="1">
      <c r="A585" s="108"/>
      <c r="B585" s="108"/>
      <c r="C585" s="27" t="s">
        <v>21</v>
      </c>
      <c r="D585" s="28">
        <v>0</v>
      </c>
      <c r="E585" s="30">
        <v>0</v>
      </c>
      <c r="F585" s="30">
        <v>0</v>
      </c>
      <c r="G585" s="31">
        <f t="shared" si="40"/>
        <v>0</v>
      </c>
      <c r="H585" s="110"/>
      <c r="I585" s="129"/>
      <c r="J585" s="112"/>
      <c r="K585" s="110"/>
      <c r="L585" s="105"/>
      <c r="M585" s="292"/>
    </row>
    <row r="586" spans="1:13" s="3" customFormat="1" ht="18.95" customHeight="1">
      <c r="A586" s="108"/>
      <c r="B586" s="108"/>
      <c r="C586" s="27" t="s">
        <v>31</v>
      </c>
      <c r="D586" s="28">
        <v>0</v>
      </c>
      <c r="E586" s="30">
        <v>0</v>
      </c>
      <c r="F586" s="30">
        <v>0</v>
      </c>
      <c r="G586" s="31">
        <f t="shared" si="40"/>
        <v>0</v>
      </c>
      <c r="H586" s="110"/>
      <c r="I586" s="130"/>
      <c r="J586" s="113"/>
      <c r="K586" s="110"/>
      <c r="L586" s="106"/>
      <c r="M586" s="292"/>
    </row>
    <row r="587" spans="1:13" s="3" customFormat="1" ht="18.95" customHeight="1">
      <c r="A587" s="141" t="s">
        <v>415</v>
      </c>
      <c r="B587" s="107" t="s">
        <v>416</v>
      </c>
      <c r="C587" s="27" t="s">
        <v>14</v>
      </c>
      <c r="D587" s="28">
        <f>SUM(D588:D591)</f>
        <v>20000</v>
      </c>
      <c r="E587" s="30">
        <f>SUM(E588:E591)</f>
        <v>0</v>
      </c>
      <c r="F587" s="30">
        <f>SUM(F588:F591)</f>
        <v>0</v>
      </c>
      <c r="G587" s="29">
        <f t="shared" si="40"/>
        <v>0</v>
      </c>
      <c r="H587" s="109" t="s">
        <v>414</v>
      </c>
      <c r="I587" s="128" t="s">
        <v>821</v>
      </c>
      <c r="J587" s="111" t="s">
        <v>105</v>
      </c>
      <c r="K587" s="109" t="s">
        <v>351</v>
      </c>
      <c r="L587" s="104" t="s">
        <v>736</v>
      </c>
      <c r="M587" s="292">
        <v>807</v>
      </c>
    </row>
    <row r="588" spans="1:13" s="3" customFormat="1" ht="18.95" customHeight="1">
      <c r="A588" s="142"/>
      <c r="B588" s="108"/>
      <c r="C588" s="27" t="s">
        <v>17</v>
      </c>
      <c r="D588" s="28">
        <v>20000</v>
      </c>
      <c r="E588" s="30">
        <v>0</v>
      </c>
      <c r="F588" s="30">
        <v>0</v>
      </c>
      <c r="G588" s="31">
        <f t="shared" si="40"/>
        <v>0</v>
      </c>
      <c r="H588" s="110"/>
      <c r="I588" s="129"/>
      <c r="J588" s="112"/>
      <c r="K588" s="110"/>
      <c r="L588" s="105"/>
      <c r="M588" s="292"/>
    </row>
    <row r="589" spans="1:13" s="3" customFormat="1" ht="18.95" customHeight="1">
      <c r="A589" s="142"/>
      <c r="B589" s="108"/>
      <c r="C589" s="27" t="s">
        <v>19</v>
      </c>
      <c r="D589" s="28">
        <v>0</v>
      </c>
      <c r="E589" s="30">
        <v>0</v>
      </c>
      <c r="F589" s="30">
        <v>0</v>
      </c>
      <c r="G589" s="31">
        <f t="shared" si="40"/>
        <v>0</v>
      </c>
      <c r="H589" s="110"/>
      <c r="I589" s="129"/>
      <c r="J589" s="112"/>
      <c r="K589" s="110"/>
      <c r="L589" s="105"/>
      <c r="M589" s="292"/>
    </row>
    <row r="590" spans="1:13" s="3" customFormat="1" ht="18.95" customHeight="1">
      <c r="A590" s="142"/>
      <c r="B590" s="108"/>
      <c r="C590" s="27" t="s">
        <v>21</v>
      </c>
      <c r="D590" s="28">
        <v>0</v>
      </c>
      <c r="E590" s="30">
        <v>0</v>
      </c>
      <c r="F590" s="30">
        <v>0</v>
      </c>
      <c r="G590" s="31">
        <f t="shared" si="40"/>
        <v>0</v>
      </c>
      <c r="H590" s="110"/>
      <c r="I590" s="129"/>
      <c r="J590" s="112"/>
      <c r="K590" s="110"/>
      <c r="L590" s="105"/>
      <c r="M590" s="292"/>
    </row>
    <row r="591" spans="1:13" s="3" customFormat="1" ht="18.95" customHeight="1">
      <c r="A591" s="142"/>
      <c r="B591" s="108"/>
      <c r="C591" s="27" t="s">
        <v>31</v>
      </c>
      <c r="D591" s="28">
        <v>0</v>
      </c>
      <c r="E591" s="30">
        <v>0</v>
      </c>
      <c r="F591" s="30">
        <v>0</v>
      </c>
      <c r="G591" s="31">
        <f t="shared" si="40"/>
        <v>0</v>
      </c>
      <c r="H591" s="110"/>
      <c r="I591" s="130"/>
      <c r="J591" s="113"/>
      <c r="K591" s="110"/>
      <c r="L591" s="106"/>
      <c r="M591" s="292"/>
    </row>
    <row r="592" spans="1:13" s="3" customFormat="1" ht="18.95" hidden="1" customHeight="1">
      <c r="A592" s="109" t="s">
        <v>417</v>
      </c>
      <c r="B592" s="109" t="s">
        <v>418</v>
      </c>
      <c r="C592" s="27" t="s">
        <v>14</v>
      </c>
      <c r="D592" s="28">
        <f>SUM(D593:D596)</f>
        <v>0</v>
      </c>
      <c r="E592" s="30">
        <f>SUM(E593:E596)</f>
        <v>0</v>
      </c>
      <c r="F592" s="30">
        <f>SUM(F593:F596)</f>
        <v>0</v>
      </c>
      <c r="G592" s="29">
        <f t="shared" ref="G592:G601" si="43">IF(D592&lt;&gt;0,F592/D592,0)</f>
        <v>0</v>
      </c>
      <c r="H592" s="109" t="s">
        <v>419</v>
      </c>
      <c r="I592" s="111" t="s">
        <v>735</v>
      </c>
      <c r="J592" s="111"/>
      <c r="K592" s="109" t="s">
        <v>351</v>
      </c>
      <c r="L592" s="104" t="s">
        <v>736</v>
      </c>
      <c r="M592" s="1"/>
    </row>
    <row r="593" spans="1:13" s="3" customFormat="1" ht="18.95" hidden="1" customHeight="1">
      <c r="A593" s="110"/>
      <c r="B593" s="110"/>
      <c r="C593" s="27" t="s">
        <v>17</v>
      </c>
      <c r="D593" s="28">
        <v>0</v>
      </c>
      <c r="E593" s="30">
        <v>0</v>
      </c>
      <c r="F593" s="30">
        <v>0</v>
      </c>
      <c r="G593" s="31">
        <f t="shared" si="43"/>
        <v>0</v>
      </c>
      <c r="H593" s="110"/>
      <c r="I593" s="112"/>
      <c r="J593" s="112"/>
      <c r="K593" s="110"/>
      <c r="L593" s="105"/>
      <c r="M593" s="1"/>
    </row>
    <row r="594" spans="1:13" s="3" customFormat="1" ht="18.95" hidden="1" customHeight="1">
      <c r="A594" s="110"/>
      <c r="B594" s="110"/>
      <c r="C594" s="27" t="s">
        <v>19</v>
      </c>
      <c r="D594" s="28">
        <v>0</v>
      </c>
      <c r="E594" s="30">
        <v>0</v>
      </c>
      <c r="F594" s="30">
        <v>0</v>
      </c>
      <c r="G594" s="31">
        <f t="shared" si="43"/>
        <v>0</v>
      </c>
      <c r="H594" s="110"/>
      <c r="I594" s="112"/>
      <c r="J594" s="112"/>
      <c r="K594" s="110"/>
      <c r="L594" s="105"/>
      <c r="M594" s="1"/>
    </row>
    <row r="595" spans="1:13" s="3" customFormat="1" ht="18.95" hidden="1" customHeight="1">
      <c r="A595" s="110"/>
      <c r="B595" s="110"/>
      <c r="C595" s="27" t="s">
        <v>21</v>
      </c>
      <c r="D595" s="28">
        <v>0</v>
      </c>
      <c r="E595" s="30">
        <v>0</v>
      </c>
      <c r="F595" s="30">
        <v>0</v>
      </c>
      <c r="G595" s="31">
        <f t="shared" si="43"/>
        <v>0</v>
      </c>
      <c r="H595" s="110"/>
      <c r="I595" s="112"/>
      <c r="J595" s="112"/>
      <c r="K595" s="110"/>
      <c r="L595" s="105"/>
      <c r="M595" s="1"/>
    </row>
    <row r="596" spans="1:13" s="3" customFormat="1" ht="18.95" hidden="1" customHeight="1">
      <c r="A596" s="110"/>
      <c r="B596" s="110"/>
      <c r="C596" s="72" t="s">
        <v>31</v>
      </c>
      <c r="D596" s="73">
        <v>0</v>
      </c>
      <c r="E596" s="74">
        <v>0</v>
      </c>
      <c r="F596" s="74">
        <v>0</v>
      </c>
      <c r="G596" s="75">
        <f t="shared" si="43"/>
        <v>0</v>
      </c>
      <c r="H596" s="110"/>
      <c r="I596" s="112"/>
      <c r="J596" s="112"/>
      <c r="K596" s="110"/>
      <c r="L596" s="105"/>
      <c r="M596" s="1"/>
    </row>
    <row r="597" spans="1:13" s="3" customFormat="1" ht="18.95" customHeight="1">
      <c r="A597" s="134" t="s">
        <v>420</v>
      </c>
      <c r="B597" s="139" t="s">
        <v>298</v>
      </c>
      <c r="C597" s="48" t="s">
        <v>14</v>
      </c>
      <c r="D597" s="49">
        <f>SUM(D598:D601)</f>
        <v>1160000</v>
      </c>
      <c r="E597" s="50">
        <f>SUM(E598:E601)</f>
        <v>372796.17600000004</v>
      </c>
      <c r="F597" s="50">
        <f>SUM(F598:F601)</f>
        <v>372796.17600000004</v>
      </c>
      <c r="G597" s="51">
        <f t="shared" si="43"/>
        <v>0.32137601379310349</v>
      </c>
      <c r="H597" s="134" t="s">
        <v>421</v>
      </c>
      <c r="I597" s="67" t="s">
        <v>15</v>
      </c>
      <c r="J597" s="67">
        <v>1</v>
      </c>
      <c r="K597" s="134" t="s">
        <v>351</v>
      </c>
      <c r="L597" s="136"/>
      <c r="M597" s="292">
        <v>807</v>
      </c>
    </row>
    <row r="598" spans="1:13" s="3" customFormat="1" ht="18.95" customHeight="1">
      <c r="A598" s="135"/>
      <c r="B598" s="140"/>
      <c r="C598" s="48" t="s">
        <v>17</v>
      </c>
      <c r="D598" s="49">
        <f>D603</f>
        <v>800000</v>
      </c>
      <c r="E598" s="50">
        <f>E603</f>
        <v>108110.89</v>
      </c>
      <c r="F598" s="50">
        <f>F603</f>
        <v>108110.89</v>
      </c>
      <c r="G598" s="52">
        <f t="shared" si="43"/>
        <v>0.1351386125</v>
      </c>
      <c r="H598" s="135"/>
      <c r="I598" s="67" t="s">
        <v>18</v>
      </c>
      <c r="J598" s="67">
        <v>0</v>
      </c>
      <c r="K598" s="135"/>
      <c r="L598" s="137"/>
      <c r="M598" s="292"/>
    </row>
    <row r="599" spans="1:13" s="3" customFormat="1" ht="18.95" customHeight="1">
      <c r="A599" s="135"/>
      <c r="B599" s="140"/>
      <c r="C599" s="48" t="s">
        <v>19</v>
      </c>
      <c r="D599" s="49">
        <f>D604</f>
        <v>360000</v>
      </c>
      <c r="E599" s="50">
        <f t="shared" ref="E599:F601" si="44">E604</f>
        <v>264685.28600000002</v>
      </c>
      <c r="F599" s="50">
        <f t="shared" si="44"/>
        <v>264685.28600000002</v>
      </c>
      <c r="G599" s="52">
        <f t="shared" si="43"/>
        <v>0.73523690555555565</v>
      </c>
      <c r="H599" s="135"/>
      <c r="I599" s="67" t="s">
        <v>20</v>
      </c>
      <c r="J599" s="67">
        <v>1</v>
      </c>
      <c r="K599" s="135"/>
      <c r="L599" s="137"/>
      <c r="M599" s="292"/>
    </row>
    <row r="600" spans="1:13" s="3" customFormat="1" ht="18.95" customHeight="1">
      <c r="A600" s="135"/>
      <c r="B600" s="140"/>
      <c r="C600" s="48" t="s">
        <v>21</v>
      </c>
      <c r="D600" s="49">
        <v>0</v>
      </c>
      <c r="E600" s="50">
        <f t="shared" si="44"/>
        <v>0</v>
      </c>
      <c r="F600" s="50">
        <f t="shared" si="44"/>
        <v>0</v>
      </c>
      <c r="G600" s="52">
        <f t="shared" si="43"/>
        <v>0</v>
      </c>
      <c r="H600" s="135"/>
      <c r="I600" s="67" t="s">
        <v>22</v>
      </c>
      <c r="J600" s="67">
        <v>0</v>
      </c>
      <c r="K600" s="135"/>
      <c r="L600" s="137"/>
      <c r="M600" s="292"/>
    </row>
    <row r="601" spans="1:13" s="3" customFormat="1" ht="18.95" customHeight="1">
      <c r="A601" s="135"/>
      <c r="B601" s="140"/>
      <c r="C601" s="48" t="s">
        <v>31</v>
      </c>
      <c r="D601" s="49">
        <f>SUM(D651,D656)</f>
        <v>0</v>
      </c>
      <c r="E601" s="50">
        <f t="shared" si="44"/>
        <v>0</v>
      </c>
      <c r="F601" s="50">
        <f t="shared" si="44"/>
        <v>0</v>
      </c>
      <c r="G601" s="52">
        <f t="shared" si="43"/>
        <v>0</v>
      </c>
      <c r="H601" s="135"/>
      <c r="I601" s="67" t="s">
        <v>24</v>
      </c>
      <c r="J601" s="68">
        <f>IF(J597=0,0,(J598+J599*0.5)/J597)</f>
        <v>0.5</v>
      </c>
      <c r="K601" s="135"/>
      <c r="L601" s="138"/>
      <c r="M601" s="292"/>
    </row>
    <row r="602" spans="1:13" s="3" customFormat="1" ht="18.95" customHeight="1">
      <c r="A602" s="134" t="s">
        <v>422</v>
      </c>
      <c r="B602" s="134" t="s">
        <v>418</v>
      </c>
      <c r="C602" s="48" t="s">
        <v>14</v>
      </c>
      <c r="D602" s="49">
        <f>SUM(D603:D606)</f>
        <v>1160000</v>
      </c>
      <c r="E602" s="50">
        <f>SUM(E603:E606)</f>
        <v>372796.17600000004</v>
      </c>
      <c r="F602" s="50">
        <f>SUM(F603:F606)</f>
        <v>372796.17600000004</v>
      </c>
      <c r="G602" s="51">
        <f t="shared" ref="G602:G646" si="45">IF(D602&lt;&gt;0,F602/D602,0)</f>
        <v>0.32137601379310349</v>
      </c>
      <c r="H602" s="134" t="s">
        <v>423</v>
      </c>
      <c r="I602" s="143" t="s">
        <v>822</v>
      </c>
      <c r="J602" s="143" t="s">
        <v>701</v>
      </c>
      <c r="K602" s="134" t="s">
        <v>351</v>
      </c>
      <c r="L602" s="136" t="s">
        <v>736</v>
      </c>
      <c r="M602" s="292">
        <v>807</v>
      </c>
    </row>
    <row r="603" spans="1:13" s="3" customFormat="1" ht="18.95" customHeight="1">
      <c r="A603" s="135"/>
      <c r="B603" s="135"/>
      <c r="C603" s="48" t="s">
        <v>17</v>
      </c>
      <c r="D603" s="49">
        <v>800000</v>
      </c>
      <c r="E603" s="50">
        <v>108110.89</v>
      </c>
      <c r="F603" s="50">
        <v>108110.89</v>
      </c>
      <c r="G603" s="52">
        <f t="shared" si="45"/>
        <v>0.1351386125</v>
      </c>
      <c r="H603" s="135"/>
      <c r="I603" s="144"/>
      <c r="J603" s="144"/>
      <c r="K603" s="135"/>
      <c r="L603" s="137"/>
      <c r="M603" s="292"/>
    </row>
    <row r="604" spans="1:13" s="3" customFormat="1" ht="18.95" customHeight="1">
      <c r="A604" s="135"/>
      <c r="B604" s="135"/>
      <c r="C604" s="48" t="s">
        <v>19</v>
      </c>
      <c r="D604" s="49">
        <v>360000</v>
      </c>
      <c r="E604" s="50">
        <v>264685.28600000002</v>
      </c>
      <c r="F604" s="50">
        <v>264685.28600000002</v>
      </c>
      <c r="G604" s="52">
        <f t="shared" si="45"/>
        <v>0.73523690555555565</v>
      </c>
      <c r="H604" s="135"/>
      <c r="I604" s="144"/>
      <c r="J604" s="144"/>
      <c r="K604" s="135"/>
      <c r="L604" s="137"/>
      <c r="M604" s="292"/>
    </row>
    <row r="605" spans="1:13" s="3" customFormat="1" ht="18.95" customHeight="1">
      <c r="A605" s="135"/>
      <c r="B605" s="135"/>
      <c r="C605" s="48" t="s">
        <v>21</v>
      </c>
      <c r="D605" s="49">
        <v>0</v>
      </c>
      <c r="E605" s="50">
        <v>0</v>
      </c>
      <c r="F605" s="50">
        <v>0</v>
      </c>
      <c r="G605" s="52">
        <f t="shared" si="45"/>
        <v>0</v>
      </c>
      <c r="H605" s="135"/>
      <c r="I605" s="144"/>
      <c r="J605" s="144"/>
      <c r="K605" s="135"/>
      <c r="L605" s="137"/>
      <c r="M605" s="292"/>
    </row>
    <row r="606" spans="1:13" s="3" customFormat="1" ht="18.95" customHeight="1">
      <c r="A606" s="135"/>
      <c r="B606" s="135"/>
      <c r="C606" s="48" t="s">
        <v>31</v>
      </c>
      <c r="D606" s="49">
        <v>0</v>
      </c>
      <c r="E606" s="50">
        <v>0</v>
      </c>
      <c r="F606" s="50">
        <v>0</v>
      </c>
      <c r="G606" s="52">
        <f t="shared" si="45"/>
        <v>0</v>
      </c>
      <c r="H606" s="135"/>
      <c r="I606" s="145"/>
      <c r="J606" s="145"/>
      <c r="K606" s="135"/>
      <c r="L606" s="138"/>
      <c r="M606" s="292"/>
    </row>
    <row r="607" spans="1:13" s="3" customFormat="1" ht="18.95" customHeight="1">
      <c r="A607" s="134" t="s">
        <v>424</v>
      </c>
      <c r="B607" s="139" t="s">
        <v>425</v>
      </c>
      <c r="C607" s="48" t="s">
        <v>14</v>
      </c>
      <c r="D607" s="49">
        <f>SUM(D608:D611)</f>
        <v>1393811.4</v>
      </c>
      <c r="E607" s="50">
        <f>SUM(E608:E611)</f>
        <v>375391.43190999998</v>
      </c>
      <c r="F607" s="50">
        <f>SUM(F608:F611)</f>
        <v>338416.42112000001</v>
      </c>
      <c r="G607" s="51">
        <f t="shared" si="45"/>
        <v>0.24279929201325232</v>
      </c>
      <c r="H607" s="134" t="s">
        <v>426</v>
      </c>
      <c r="I607" s="67" t="s">
        <v>15</v>
      </c>
      <c r="J607" s="67">
        <v>6</v>
      </c>
      <c r="K607" s="134" t="s">
        <v>382</v>
      </c>
      <c r="L607" s="136"/>
      <c r="M607" s="292">
        <v>805</v>
      </c>
    </row>
    <row r="608" spans="1:13" s="3" customFormat="1" ht="18.95" customHeight="1">
      <c r="A608" s="135"/>
      <c r="B608" s="140"/>
      <c r="C608" s="48" t="s">
        <v>17</v>
      </c>
      <c r="D608" s="49">
        <f>D613+D623+D628+D633+D638+D643+D618</f>
        <v>682978.20000000007</v>
      </c>
      <c r="E608" s="50">
        <f>E613+E618+E623+E628+E633+E638+E643</f>
        <v>140795.48623000001</v>
      </c>
      <c r="F608" s="50">
        <f>F613+F618+F623+F628+F633+F638+F643</f>
        <v>122621.21863999999</v>
      </c>
      <c r="G608" s="52">
        <f t="shared" si="45"/>
        <v>0.17953899354327851</v>
      </c>
      <c r="H608" s="135"/>
      <c r="I608" s="67" t="s">
        <v>18</v>
      </c>
      <c r="J608" s="67">
        <f>COUNTIF($J$612:$J$646,"да")</f>
        <v>0</v>
      </c>
      <c r="K608" s="135"/>
      <c r="L608" s="137"/>
      <c r="M608" s="292"/>
    </row>
    <row r="609" spans="1:13" s="3" customFormat="1" ht="18.95" customHeight="1">
      <c r="A609" s="135"/>
      <c r="B609" s="140"/>
      <c r="C609" s="48" t="s">
        <v>19</v>
      </c>
      <c r="D609" s="49">
        <f>D614+D624+D629+D634+D639+D644+D619</f>
        <v>710833.19999999984</v>
      </c>
      <c r="E609" s="50">
        <f t="shared" ref="E609:F611" si="46">E614+E619+E624+E629+E634+E639+E644</f>
        <v>234595.94567999998</v>
      </c>
      <c r="F609" s="50">
        <f t="shared" si="46"/>
        <v>215795.20248000001</v>
      </c>
      <c r="G609" s="52">
        <f t="shared" si="45"/>
        <v>0.30358064659894901</v>
      </c>
      <c r="H609" s="135"/>
      <c r="I609" s="67" t="s">
        <v>20</v>
      </c>
      <c r="J609" s="67">
        <f>COUNTIF($J$612:$J$646,"частично")</f>
        <v>1</v>
      </c>
      <c r="K609" s="135"/>
      <c r="L609" s="137"/>
      <c r="M609" s="292"/>
    </row>
    <row r="610" spans="1:13" s="3" customFormat="1" ht="18.95" customHeight="1">
      <c r="A610" s="135"/>
      <c r="B610" s="140"/>
      <c r="C610" s="48" t="s">
        <v>21</v>
      </c>
      <c r="D610" s="49">
        <v>0</v>
      </c>
      <c r="E610" s="50">
        <f t="shared" si="46"/>
        <v>0</v>
      </c>
      <c r="F610" s="50">
        <f t="shared" si="46"/>
        <v>0</v>
      </c>
      <c r="G610" s="52">
        <f t="shared" si="45"/>
        <v>0</v>
      </c>
      <c r="H610" s="135"/>
      <c r="I610" s="67" t="s">
        <v>22</v>
      </c>
      <c r="J610" s="67">
        <f>COUNTIF($J$612:$J$646,"нет")</f>
        <v>5</v>
      </c>
      <c r="K610" s="135"/>
      <c r="L610" s="137"/>
      <c r="M610" s="292"/>
    </row>
    <row r="611" spans="1:13" s="3" customFormat="1" ht="18.95" customHeight="1">
      <c r="A611" s="135"/>
      <c r="B611" s="140"/>
      <c r="C611" s="48" t="s">
        <v>31</v>
      </c>
      <c r="D611" s="49">
        <f>D616+D626+D631+D636+D641+D646+D621</f>
        <v>0</v>
      </c>
      <c r="E611" s="50">
        <f t="shared" si="46"/>
        <v>0</v>
      </c>
      <c r="F611" s="50">
        <f t="shared" si="46"/>
        <v>0</v>
      </c>
      <c r="G611" s="52">
        <f t="shared" si="45"/>
        <v>0</v>
      </c>
      <c r="H611" s="135"/>
      <c r="I611" s="67" t="s">
        <v>24</v>
      </c>
      <c r="J611" s="68">
        <f>IF(J607=0,0,(J608+J609*0.5)/J607)</f>
        <v>8.3333333333333329E-2</v>
      </c>
      <c r="K611" s="135"/>
      <c r="L611" s="138"/>
      <c r="M611" s="292"/>
    </row>
    <row r="612" spans="1:13" s="3" customFormat="1" ht="18.95" customHeight="1">
      <c r="A612" s="139" t="s">
        <v>427</v>
      </c>
      <c r="B612" s="139" t="s">
        <v>384</v>
      </c>
      <c r="C612" s="48" t="s">
        <v>14</v>
      </c>
      <c r="D612" s="60">
        <f>SUM(D613:D616)</f>
        <v>106764.09999999999</v>
      </c>
      <c r="E612" s="50">
        <f>SUM(E613:E616)</f>
        <v>0</v>
      </c>
      <c r="F612" s="50">
        <f>SUM(F613:F616)</f>
        <v>0</v>
      </c>
      <c r="G612" s="51">
        <f t="shared" si="45"/>
        <v>0</v>
      </c>
      <c r="H612" s="134" t="s">
        <v>428</v>
      </c>
      <c r="I612" s="143" t="s">
        <v>737</v>
      </c>
      <c r="J612" s="143" t="s">
        <v>105</v>
      </c>
      <c r="K612" s="134" t="s">
        <v>386</v>
      </c>
      <c r="L612" s="136" t="s">
        <v>736</v>
      </c>
      <c r="M612" s="292">
        <v>807</v>
      </c>
    </row>
    <row r="613" spans="1:13" s="3" customFormat="1" ht="18.95" customHeight="1">
      <c r="A613" s="140"/>
      <c r="B613" s="140"/>
      <c r="C613" s="48" t="s">
        <v>17</v>
      </c>
      <c r="D613" s="60">
        <f>11503-3827.3</f>
        <v>7675.7</v>
      </c>
      <c r="E613" s="50">
        <v>0</v>
      </c>
      <c r="F613" s="50">
        <v>0</v>
      </c>
      <c r="G613" s="52">
        <f t="shared" si="45"/>
        <v>0</v>
      </c>
      <c r="H613" s="135"/>
      <c r="I613" s="144"/>
      <c r="J613" s="144"/>
      <c r="K613" s="135"/>
      <c r="L613" s="137"/>
      <c r="M613" s="292"/>
    </row>
    <row r="614" spans="1:13" s="3" customFormat="1" ht="18.95" customHeight="1">
      <c r="A614" s="140"/>
      <c r="B614" s="140"/>
      <c r="C614" s="48" t="s">
        <v>19</v>
      </c>
      <c r="D614" s="60">
        <f>148497-49408.6</f>
        <v>99088.4</v>
      </c>
      <c r="E614" s="50">
        <v>0</v>
      </c>
      <c r="F614" s="50">
        <v>0</v>
      </c>
      <c r="G614" s="52">
        <f t="shared" si="45"/>
        <v>0</v>
      </c>
      <c r="H614" s="135"/>
      <c r="I614" s="144"/>
      <c r="J614" s="144"/>
      <c r="K614" s="135"/>
      <c r="L614" s="137"/>
      <c r="M614" s="292"/>
    </row>
    <row r="615" spans="1:13" s="3" customFormat="1" ht="18.95" customHeight="1">
      <c r="A615" s="140"/>
      <c r="B615" s="140"/>
      <c r="C615" s="48" t="s">
        <v>21</v>
      </c>
      <c r="D615" s="60">
        <v>0</v>
      </c>
      <c r="E615" s="50">
        <v>0</v>
      </c>
      <c r="F615" s="50">
        <v>0</v>
      </c>
      <c r="G615" s="52">
        <f t="shared" si="45"/>
        <v>0</v>
      </c>
      <c r="H615" s="135"/>
      <c r="I615" s="144"/>
      <c r="J615" s="144"/>
      <c r="K615" s="135"/>
      <c r="L615" s="137"/>
      <c r="M615" s="292"/>
    </row>
    <row r="616" spans="1:13" s="3" customFormat="1" ht="18.95" customHeight="1">
      <c r="A616" s="140"/>
      <c r="B616" s="140"/>
      <c r="C616" s="48" t="s">
        <v>31</v>
      </c>
      <c r="D616" s="49">
        <v>0</v>
      </c>
      <c r="E616" s="50">
        <v>0</v>
      </c>
      <c r="F616" s="50">
        <v>0</v>
      </c>
      <c r="G616" s="52">
        <f t="shared" si="45"/>
        <v>0</v>
      </c>
      <c r="H616" s="135"/>
      <c r="I616" s="145"/>
      <c r="J616" s="145"/>
      <c r="K616" s="135"/>
      <c r="L616" s="138"/>
      <c r="M616" s="292"/>
    </row>
    <row r="617" spans="1:13" s="3" customFormat="1" ht="18.95" customHeight="1">
      <c r="A617" s="139" t="s">
        <v>429</v>
      </c>
      <c r="B617" s="139" t="s">
        <v>388</v>
      </c>
      <c r="C617" s="48" t="s">
        <v>14</v>
      </c>
      <c r="D617" s="49">
        <f>SUM(D618:D621)</f>
        <v>250000</v>
      </c>
      <c r="E617" s="50">
        <f>SUM(E618:E621)</f>
        <v>1174.7</v>
      </c>
      <c r="F617" s="50">
        <f>SUM(F618:F621)</f>
        <v>1174.7</v>
      </c>
      <c r="G617" s="51">
        <f t="shared" si="45"/>
        <v>4.6988000000000004E-3</v>
      </c>
      <c r="H617" s="134" t="s">
        <v>430</v>
      </c>
      <c r="I617" s="146" t="s">
        <v>738</v>
      </c>
      <c r="J617" s="143" t="s">
        <v>105</v>
      </c>
      <c r="K617" s="134" t="s">
        <v>389</v>
      </c>
      <c r="L617" s="136" t="s">
        <v>736</v>
      </c>
      <c r="M617" s="292">
        <v>807</v>
      </c>
    </row>
    <row r="618" spans="1:13" s="3" customFormat="1" ht="18.95" customHeight="1">
      <c r="A618" s="140"/>
      <c r="B618" s="140"/>
      <c r="C618" s="48" t="s">
        <v>17</v>
      </c>
      <c r="D618" s="49">
        <f>7889.7+140258.1</f>
        <v>148147.80000000002</v>
      </c>
      <c r="E618" s="50">
        <v>1174.7</v>
      </c>
      <c r="F618" s="50">
        <v>1174.7</v>
      </c>
      <c r="G618" s="52">
        <f t="shared" si="45"/>
        <v>7.9292436337225387E-3</v>
      </c>
      <c r="H618" s="135"/>
      <c r="I618" s="147"/>
      <c r="J618" s="144"/>
      <c r="K618" s="135"/>
      <c r="L618" s="137"/>
      <c r="M618" s="292"/>
    </row>
    <row r="619" spans="1:13" s="3" customFormat="1" ht="18.95" customHeight="1">
      <c r="A619" s="140"/>
      <c r="B619" s="140"/>
      <c r="C619" s="48" t="s">
        <v>19</v>
      </c>
      <c r="D619" s="49">
        <v>101852.2</v>
      </c>
      <c r="E619" s="50">
        <v>0</v>
      </c>
      <c r="F619" s="50">
        <v>0</v>
      </c>
      <c r="G619" s="52">
        <f t="shared" si="45"/>
        <v>0</v>
      </c>
      <c r="H619" s="135"/>
      <c r="I619" s="147"/>
      <c r="J619" s="144"/>
      <c r="K619" s="135"/>
      <c r="L619" s="137"/>
      <c r="M619" s="292"/>
    </row>
    <row r="620" spans="1:13" s="3" customFormat="1" ht="18.95" customHeight="1">
      <c r="A620" s="140"/>
      <c r="B620" s="140"/>
      <c r="C620" s="48" t="s">
        <v>21</v>
      </c>
      <c r="D620" s="49">
        <v>0</v>
      </c>
      <c r="E620" s="50">
        <v>0</v>
      </c>
      <c r="F620" s="50">
        <v>0</v>
      </c>
      <c r="G620" s="52">
        <f t="shared" si="45"/>
        <v>0</v>
      </c>
      <c r="H620" s="135"/>
      <c r="I620" s="147"/>
      <c r="J620" s="144"/>
      <c r="K620" s="135"/>
      <c r="L620" s="137"/>
      <c r="M620" s="292"/>
    </row>
    <row r="621" spans="1:13" s="3" customFormat="1" ht="18.95" customHeight="1">
      <c r="A621" s="140"/>
      <c r="B621" s="140"/>
      <c r="C621" s="48" t="s">
        <v>31</v>
      </c>
      <c r="D621" s="49">
        <v>0</v>
      </c>
      <c r="E621" s="50">
        <v>0</v>
      </c>
      <c r="F621" s="50">
        <v>0</v>
      </c>
      <c r="G621" s="52">
        <f t="shared" si="45"/>
        <v>0</v>
      </c>
      <c r="H621" s="135"/>
      <c r="I621" s="148"/>
      <c r="J621" s="145"/>
      <c r="K621" s="135"/>
      <c r="L621" s="138"/>
      <c r="M621" s="292"/>
    </row>
    <row r="622" spans="1:13" s="3" customFormat="1" ht="18.95" customHeight="1">
      <c r="A622" s="139" t="s">
        <v>431</v>
      </c>
      <c r="B622" s="139" t="s">
        <v>391</v>
      </c>
      <c r="C622" s="48" t="s">
        <v>14</v>
      </c>
      <c r="D622" s="49">
        <f>SUM(D623:D626)</f>
        <v>189850</v>
      </c>
      <c r="E622" s="50">
        <f>SUM(E623:E626)</f>
        <v>52875.72</v>
      </c>
      <c r="F622" s="50">
        <f>SUM(F623:F626)</f>
        <v>13218.9</v>
      </c>
      <c r="G622" s="51">
        <f t="shared" si="45"/>
        <v>6.9628127469054515E-2</v>
      </c>
      <c r="H622" s="134" t="s">
        <v>432</v>
      </c>
      <c r="I622" s="143" t="s">
        <v>713</v>
      </c>
      <c r="J622" s="143" t="s">
        <v>105</v>
      </c>
      <c r="K622" s="134" t="s">
        <v>393</v>
      </c>
      <c r="L622" s="136" t="s">
        <v>832</v>
      </c>
      <c r="M622" s="292">
        <v>805</v>
      </c>
    </row>
    <row r="623" spans="1:13" s="3" customFormat="1" ht="18.95" customHeight="1">
      <c r="A623" s="140"/>
      <c r="B623" s="140"/>
      <c r="C623" s="48" t="s">
        <v>17</v>
      </c>
      <c r="D623" s="49">
        <f>5984.1+3827.3+53378.2</f>
        <v>63189.599999999999</v>
      </c>
      <c r="E623" s="50">
        <v>30076.82</v>
      </c>
      <c r="F623" s="50">
        <v>7519.2</v>
      </c>
      <c r="G623" s="52">
        <f t="shared" si="45"/>
        <v>0.11899426487903073</v>
      </c>
      <c r="H623" s="135"/>
      <c r="I623" s="144"/>
      <c r="J623" s="144"/>
      <c r="K623" s="135"/>
      <c r="L623" s="137"/>
      <c r="M623" s="292"/>
    </row>
    <row r="624" spans="1:13" s="3" customFormat="1" ht="18.95" customHeight="1">
      <c r="A624" s="140"/>
      <c r="B624" s="140"/>
      <c r="C624" s="48" t="s">
        <v>19</v>
      </c>
      <c r="D624" s="49">
        <f>77251.8+49408.6</f>
        <v>126660.4</v>
      </c>
      <c r="E624" s="50">
        <v>22798.9</v>
      </c>
      <c r="F624" s="50">
        <v>5699.7</v>
      </c>
      <c r="G624" s="52">
        <f t="shared" si="45"/>
        <v>4.4999857887706024E-2</v>
      </c>
      <c r="H624" s="135"/>
      <c r="I624" s="144"/>
      <c r="J624" s="144"/>
      <c r="K624" s="135"/>
      <c r="L624" s="137"/>
      <c r="M624" s="292"/>
    </row>
    <row r="625" spans="1:13" s="3" customFormat="1" ht="18.95" customHeight="1">
      <c r="A625" s="140"/>
      <c r="B625" s="140"/>
      <c r="C625" s="48" t="s">
        <v>21</v>
      </c>
      <c r="D625" s="49">
        <v>0</v>
      </c>
      <c r="E625" s="50">
        <v>0</v>
      </c>
      <c r="F625" s="50">
        <v>0</v>
      </c>
      <c r="G625" s="52">
        <f t="shared" si="45"/>
        <v>0</v>
      </c>
      <c r="H625" s="135"/>
      <c r="I625" s="144"/>
      <c r="J625" s="144"/>
      <c r="K625" s="135"/>
      <c r="L625" s="137"/>
      <c r="M625" s="292"/>
    </row>
    <row r="626" spans="1:13" s="3" customFormat="1" ht="18.95" customHeight="1">
      <c r="A626" s="140"/>
      <c r="B626" s="140"/>
      <c r="C626" s="48" t="s">
        <v>31</v>
      </c>
      <c r="D626" s="49">
        <v>0</v>
      </c>
      <c r="E626" s="50">
        <v>0</v>
      </c>
      <c r="F626" s="50">
        <v>0</v>
      </c>
      <c r="G626" s="52">
        <f t="shared" si="45"/>
        <v>0</v>
      </c>
      <c r="H626" s="135"/>
      <c r="I626" s="145"/>
      <c r="J626" s="145"/>
      <c r="K626" s="135"/>
      <c r="L626" s="138"/>
      <c r="M626" s="292"/>
    </row>
    <row r="627" spans="1:13" s="3" customFormat="1" ht="18.95" customHeight="1">
      <c r="A627" s="139" t="s">
        <v>433</v>
      </c>
      <c r="B627" s="139" t="s">
        <v>434</v>
      </c>
      <c r="C627" s="48" t="s">
        <v>14</v>
      </c>
      <c r="D627" s="49">
        <f>SUM(D628:D631)</f>
        <v>716959.3</v>
      </c>
      <c r="E627" s="50">
        <f>SUM(E628:E631)</f>
        <v>294507.37622999999</v>
      </c>
      <c r="F627" s="50">
        <f>SUM(F628:F631)</f>
        <v>299022.52500000002</v>
      </c>
      <c r="G627" s="51">
        <f t="shared" si="45"/>
        <v>0.41707043203149746</v>
      </c>
      <c r="H627" s="134" t="s">
        <v>435</v>
      </c>
      <c r="I627" s="143" t="s">
        <v>714</v>
      </c>
      <c r="J627" s="143" t="s">
        <v>701</v>
      </c>
      <c r="K627" s="134" t="s">
        <v>351</v>
      </c>
      <c r="L627" s="136" t="s">
        <v>736</v>
      </c>
      <c r="M627" s="292">
        <v>807</v>
      </c>
    </row>
    <row r="628" spans="1:13" s="3" customFormat="1" ht="18.95" customHeight="1">
      <c r="A628" s="140"/>
      <c r="B628" s="140"/>
      <c r="C628" s="48" t="s">
        <v>17</v>
      </c>
      <c r="D628" s="49">
        <f>20860.2-4163.8-1271.2+37507.2+433900+1635.7-140258.1+3262.1+103129.7</f>
        <v>454601.8</v>
      </c>
      <c r="E628" s="50">
        <f>14474.86+93170.70623</f>
        <v>107645.56623</v>
      </c>
      <c r="F628" s="50">
        <v>112160.715</v>
      </c>
      <c r="G628" s="52">
        <f t="shared" si="45"/>
        <v>0.2467229892182565</v>
      </c>
      <c r="H628" s="135"/>
      <c r="I628" s="144"/>
      <c r="J628" s="144"/>
      <c r="K628" s="135"/>
      <c r="L628" s="137"/>
      <c r="M628" s="292"/>
    </row>
    <row r="629" spans="1:13" s="3" customFormat="1" ht="18.95" customHeight="1">
      <c r="A629" s="140"/>
      <c r="B629" s="140"/>
      <c r="C629" s="48" t="s">
        <v>19</v>
      </c>
      <c r="D629" s="49">
        <f>269293-53752.9-16410.1+21116.3+42111.2</f>
        <v>262357.5</v>
      </c>
      <c r="E629" s="50">
        <v>186861.81</v>
      </c>
      <c r="F629" s="50">
        <v>186861.81</v>
      </c>
      <c r="G629" s="52">
        <f t="shared" si="45"/>
        <v>0.7122411594865784</v>
      </c>
      <c r="H629" s="135"/>
      <c r="I629" s="144"/>
      <c r="J629" s="144"/>
      <c r="K629" s="135"/>
      <c r="L629" s="137"/>
      <c r="M629" s="292"/>
    </row>
    <row r="630" spans="1:13" s="3" customFormat="1" ht="18.95" customHeight="1">
      <c r="A630" s="140"/>
      <c r="B630" s="140"/>
      <c r="C630" s="48" t="s">
        <v>21</v>
      </c>
      <c r="D630" s="49">
        <v>0</v>
      </c>
      <c r="E630" s="50">
        <v>0</v>
      </c>
      <c r="F630" s="50">
        <v>0</v>
      </c>
      <c r="G630" s="52">
        <f t="shared" si="45"/>
        <v>0</v>
      </c>
      <c r="H630" s="135"/>
      <c r="I630" s="144"/>
      <c r="J630" s="144"/>
      <c r="K630" s="135"/>
      <c r="L630" s="137"/>
      <c r="M630" s="292"/>
    </row>
    <row r="631" spans="1:13" s="3" customFormat="1" ht="18.95" customHeight="1">
      <c r="A631" s="140"/>
      <c r="B631" s="140"/>
      <c r="C631" s="48" t="s">
        <v>31</v>
      </c>
      <c r="D631" s="49">
        <v>0</v>
      </c>
      <c r="E631" s="50">
        <v>0</v>
      </c>
      <c r="F631" s="50">
        <v>0</v>
      </c>
      <c r="G631" s="52">
        <f t="shared" si="45"/>
        <v>0</v>
      </c>
      <c r="H631" s="135"/>
      <c r="I631" s="145"/>
      <c r="J631" s="145"/>
      <c r="K631" s="135"/>
      <c r="L631" s="138"/>
      <c r="M631" s="292"/>
    </row>
    <row r="632" spans="1:13" s="3" customFormat="1" ht="18.95" customHeight="1">
      <c r="A632" s="139" t="s">
        <v>436</v>
      </c>
      <c r="B632" s="139" t="s">
        <v>401</v>
      </c>
      <c r="C632" s="48" t="s">
        <v>14</v>
      </c>
      <c r="D632" s="49">
        <f>SUM(D633:D636)</f>
        <v>75597.999999999985</v>
      </c>
      <c r="E632" s="50">
        <f>SUM(E633:E636)</f>
        <v>12668.677380000001</v>
      </c>
      <c r="F632" s="50">
        <f>SUM(F633:F636)</f>
        <v>12668.677380000001</v>
      </c>
      <c r="G632" s="51">
        <f t="shared" si="45"/>
        <v>0.16757953093997199</v>
      </c>
      <c r="H632" s="134" t="s">
        <v>437</v>
      </c>
      <c r="I632" s="143" t="s">
        <v>715</v>
      </c>
      <c r="J632" s="143" t="s">
        <v>105</v>
      </c>
      <c r="K632" s="134" t="s">
        <v>393</v>
      </c>
      <c r="L632" s="136" t="s">
        <v>832</v>
      </c>
      <c r="M632" s="292">
        <v>805</v>
      </c>
    </row>
    <row r="633" spans="1:13" s="3" customFormat="1" ht="18.95" customHeight="1">
      <c r="A633" s="140"/>
      <c r="B633" s="140"/>
      <c r="C633" s="48" t="s">
        <v>17</v>
      </c>
      <c r="D633" s="49">
        <f>1635.7+4163.8+1271.2-1635.7</f>
        <v>5435</v>
      </c>
      <c r="E633" s="50">
        <v>888.2</v>
      </c>
      <c r="F633" s="50">
        <v>888.2</v>
      </c>
      <c r="G633" s="52">
        <f t="shared" si="45"/>
        <v>0.16342226310947564</v>
      </c>
      <c r="H633" s="135"/>
      <c r="I633" s="144"/>
      <c r="J633" s="144"/>
      <c r="K633" s="135"/>
      <c r="L633" s="137"/>
      <c r="M633" s="292"/>
    </row>
    <row r="634" spans="1:13" s="3" customFormat="1" ht="18.95" customHeight="1">
      <c r="A634" s="140"/>
      <c r="B634" s="140"/>
      <c r="C634" s="48" t="s">
        <v>19</v>
      </c>
      <c r="D634" s="49">
        <f>21116.3+53752.9+16410.1-21116.3</f>
        <v>70162.999999999985</v>
      </c>
      <c r="E634" s="50">
        <v>11780.47738</v>
      </c>
      <c r="F634" s="50">
        <v>11780.47738</v>
      </c>
      <c r="G634" s="52">
        <f t="shared" si="45"/>
        <v>0.16790156321708027</v>
      </c>
      <c r="H634" s="135"/>
      <c r="I634" s="144"/>
      <c r="J634" s="144"/>
      <c r="K634" s="135"/>
      <c r="L634" s="137"/>
      <c r="M634" s="292"/>
    </row>
    <row r="635" spans="1:13" s="3" customFormat="1" ht="18.95" customHeight="1">
      <c r="A635" s="140"/>
      <c r="B635" s="140"/>
      <c r="C635" s="48" t="s">
        <v>21</v>
      </c>
      <c r="D635" s="49">
        <v>0</v>
      </c>
      <c r="E635" s="50">
        <v>0</v>
      </c>
      <c r="F635" s="50">
        <v>0</v>
      </c>
      <c r="G635" s="52">
        <f t="shared" si="45"/>
        <v>0</v>
      </c>
      <c r="H635" s="135"/>
      <c r="I635" s="144"/>
      <c r="J635" s="144"/>
      <c r="K635" s="135"/>
      <c r="L635" s="137"/>
      <c r="M635" s="292"/>
    </row>
    <row r="636" spans="1:13" s="3" customFormat="1" ht="18.95" customHeight="1">
      <c r="A636" s="140"/>
      <c r="B636" s="140"/>
      <c r="C636" s="48" t="s">
        <v>31</v>
      </c>
      <c r="D636" s="49">
        <v>0</v>
      </c>
      <c r="E636" s="50">
        <v>0</v>
      </c>
      <c r="F636" s="50">
        <v>0</v>
      </c>
      <c r="G636" s="52">
        <f t="shared" si="45"/>
        <v>0</v>
      </c>
      <c r="H636" s="135"/>
      <c r="I636" s="145"/>
      <c r="J636" s="145"/>
      <c r="K636" s="135"/>
      <c r="L636" s="138"/>
      <c r="M636" s="292"/>
    </row>
    <row r="637" spans="1:13" s="3" customFormat="1" ht="18.95" hidden="1" customHeight="1">
      <c r="A637" s="139" t="s">
        <v>438</v>
      </c>
      <c r="B637" s="139" t="s">
        <v>404</v>
      </c>
      <c r="C637" s="48" t="s">
        <v>14</v>
      </c>
      <c r="D637" s="49">
        <f>SUM(D638:D641)</f>
        <v>0</v>
      </c>
      <c r="E637" s="50">
        <f>SUM(E638:E641)</f>
        <v>0</v>
      </c>
      <c r="F637" s="50">
        <f>SUM(F638:F641)</f>
        <v>0</v>
      </c>
      <c r="G637" s="51">
        <f t="shared" si="45"/>
        <v>0</v>
      </c>
      <c r="H637" s="134" t="s">
        <v>439</v>
      </c>
      <c r="I637" s="143"/>
      <c r="J637" s="143"/>
      <c r="K637" s="134" t="s">
        <v>393</v>
      </c>
      <c r="L637" s="136"/>
      <c r="M637" s="1"/>
    </row>
    <row r="638" spans="1:13" s="3" customFormat="1" ht="18.95" hidden="1" customHeight="1">
      <c r="A638" s="140"/>
      <c r="B638" s="140"/>
      <c r="C638" s="48" t="s">
        <v>17</v>
      </c>
      <c r="D638" s="49">
        <v>0</v>
      </c>
      <c r="E638" s="50">
        <v>0</v>
      </c>
      <c r="F638" s="50">
        <v>0</v>
      </c>
      <c r="G638" s="52">
        <f t="shared" si="45"/>
        <v>0</v>
      </c>
      <c r="H638" s="135"/>
      <c r="I638" s="144"/>
      <c r="J638" s="144"/>
      <c r="K638" s="135"/>
      <c r="L638" s="137"/>
      <c r="M638" s="1"/>
    </row>
    <row r="639" spans="1:13" s="3" customFormat="1" ht="18.95" hidden="1" customHeight="1">
      <c r="A639" s="140"/>
      <c r="B639" s="140"/>
      <c r="C639" s="48" t="s">
        <v>19</v>
      </c>
      <c r="D639" s="49">
        <v>0</v>
      </c>
      <c r="E639" s="50">
        <v>0</v>
      </c>
      <c r="F639" s="50">
        <v>0</v>
      </c>
      <c r="G639" s="52">
        <f t="shared" si="45"/>
        <v>0</v>
      </c>
      <c r="H639" s="135"/>
      <c r="I639" s="144"/>
      <c r="J639" s="144"/>
      <c r="K639" s="135"/>
      <c r="L639" s="137"/>
      <c r="M639" s="1"/>
    </row>
    <row r="640" spans="1:13" s="3" customFormat="1" ht="18.95" hidden="1" customHeight="1">
      <c r="A640" s="140"/>
      <c r="B640" s="140"/>
      <c r="C640" s="48" t="s">
        <v>21</v>
      </c>
      <c r="D640" s="49">
        <v>0</v>
      </c>
      <c r="E640" s="50">
        <v>0</v>
      </c>
      <c r="F640" s="50">
        <v>0</v>
      </c>
      <c r="G640" s="52">
        <f t="shared" si="45"/>
        <v>0</v>
      </c>
      <c r="H640" s="135"/>
      <c r="I640" s="144"/>
      <c r="J640" s="144"/>
      <c r="K640" s="135"/>
      <c r="L640" s="137"/>
      <c r="M640" s="1"/>
    </row>
    <row r="641" spans="1:13" s="3" customFormat="1" ht="18.95" hidden="1" customHeight="1">
      <c r="A641" s="140"/>
      <c r="B641" s="140"/>
      <c r="C641" s="48" t="s">
        <v>31</v>
      </c>
      <c r="D641" s="49">
        <v>0</v>
      </c>
      <c r="E641" s="50">
        <v>0</v>
      </c>
      <c r="F641" s="50">
        <v>0</v>
      </c>
      <c r="G641" s="52">
        <f t="shared" si="45"/>
        <v>0</v>
      </c>
      <c r="H641" s="135"/>
      <c r="I641" s="145"/>
      <c r="J641" s="145"/>
      <c r="K641" s="135"/>
      <c r="L641" s="138"/>
      <c r="M641" s="1"/>
    </row>
    <row r="642" spans="1:13" s="3" customFormat="1" ht="18.95" customHeight="1">
      <c r="A642" s="139" t="s">
        <v>440</v>
      </c>
      <c r="B642" s="139" t="s">
        <v>407</v>
      </c>
      <c r="C642" s="48" t="s">
        <v>14</v>
      </c>
      <c r="D642" s="49">
        <f>SUM(D643:D646)</f>
        <v>54640</v>
      </c>
      <c r="E642" s="50">
        <f>SUM(E643:E646)</f>
        <v>14164.9583</v>
      </c>
      <c r="F642" s="50">
        <f>SUM(F643:F646)</f>
        <v>12331.618740000002</v>
      </c>
      <c r="G642" s="51">
        <f t="shared" si="45"/>
        <v>0.22568848352855053</v>
      </c>
      <c r="H642" s="134" t="s">
        <v>441</v>
      </c>
      <c r="I642" s="143" t="s">
        <v>442</v>
      </c>
      <c r="J642" s="143" t="s">
        <v>105</v>
      </c>
      <c r="K642" s="134" t="s">
        <v>393</v>
      </c>
      <c r="L642" s="136" t="s">
        <v>811</v>
      </c>
      <c r="M642" s="292">
        <v>805</v>
      </c>
    </row>
    <row r="643" spans="1:13" s="3" customFormat="1" ht="18.95" customHeight="1">
      <c r="A643" s="140"/>
      <c r="B643" s="140"/>
      <c r="C643" s="48" t="s">
        <v>17</v>
      </c>
      <c r="D643" s="49">
        <v>3928.3</v>
      </c>
      <c r="E643" s="50">
        <v>1010.2</v>
      </c>
      <c r="F643" s="50">
        <v>878.40364</v>
      </c>
      <c r="G643" s="52">
        <f t="shared" si="45"/>
        <v>0.22360910317440114</v>
      </c>
      <c r="H643" s="135"/>
      <c r="I643" s="144"/>
      <c r="J643" s="144"/>
      <c r="K643" s="135"/>
      <c r="L643" s="137"/>
      <c r="M643" s="292"/>
    </row>
    <row r="644" spans="1:13" s="3" customFormat="1" ht="18.95" customHeight="1">
      <c r="A644" s="140"/>
      <c r="B644" s="140"/>
      <c r="C644" s="48" t="s">
        <v>19</v>
      </c>
      <c r="D644" s="49">
        <v>50711.7</v>
      </c>
      <c r="E644" s="50">
        <v>13154.7583</v>
      </c>
      <c r="F644" s="50">
        <v>11453.215100000001</v>
      </c>
      <c r="G644" s="52">
        <f t="shared" si="45"/>
        <v>0.2258495593719004</v>
      </c>
      <c r="H644" s="135"/>
      <c r="I644" s="144"/>
      <c r="J644" s="144"/>
      <c r="K644" s="135"/>
      <c r="L644" s="137"/>
      <c r="M644" s="292"/>
    </row>
    <row r="645" spans="1:13" s="3" customFormat="1" ht="18.95" customHeight="1">
      <c r="A645" s="140"/>
      <c r="B645" s="140"/>
      <c r="C645" s="48" t="s">
        <v>21</v>
      </c>
      <c r="D645" s="49">
        <v>0</v>
      </c>
      <c r="E645" s="50">
        <v>0</v>
      </c>
      <c r="F645" s="50">
        <v>0</v>
      </c>
      <c r="G645" s="52">
        <f t="shared" si="45"/>
        <v>0</v>
      </c>
      <c r="H645" s="135"/>
      <c r="I645" s="144"/>
      <c r="J645" s="144"/>
      <c r="K645" s="135"/>
      <c r="L645" s="137"/>
      <c r="M645" s="292"/>
    </row>
    <row r="646" spans="1:13" s="3" customFormat="1" ht="18.95" customHeight="1">
      <c r="A646" s="140"/>
      <c r="B646" s="140"/>
      <c r="C646" s="48" t="s">
        <v>31</v>
      </c>
      <c r="D646" s="49">
        <v>0</v>
      </c>
      <c r="E646" s="50">
        <v>0</v>
      </c>
      <c r="F646" s="50">
        <v>0</v>
      </c>
      <c r="G646" s="52">
        <f t="shared" si="45"/>
        <v>0</v>
      </c>
      <c r="H646" s="135"/>
      <c r="I646" s="145"/>
      <c r="J646" s="145"/>
      <c r="K646" s="135"/>
      <c r="L646" s="138"/>
      <c r="M646" s="292"/>
    </row>
    <row r="647" spans="1:13" s="3" customFormat="1" ht="18.95" customHeight="1">
      <c r="A647" s="155" t="s">
        <v>443</v>
      </c>
      <c r="B647" s="160" t="s">
        <v>444</v>
      </c>
      <c r="C647" s="33" t="s">
        <v>14</v>
      </c>
      <c r="D647" s="34">
        <f>SUM(D648:D651)</f>
        <v>547683.6</v>
      </c>
      <c r="E647" s="37">
        <f>SUM(E648:E651)</f>
        <v>201457.76468999998</v>
      </c>
      <c r="F647" s="37">
        <f>SUM(F648:F651)</f>
        <v>177074.23619999998</v>
      </c>
      <c r="G647" s="35">
        <f t="shared" ref="G647:G656" si="47">IF(D647&lt;&gt;0,F647/D647,0)</f>
        <v>0.32331484126966736</v>
      </c>
      <c r="H647" s="151"/>
      <c r="I647" s="69" t="s">
        <v>15</v>
      </c>
      <c r="J647" s="69">
        <f>J652+J737+J727</f>
        <v>16</v>
      </c>
      <c r="K647" s="162" t="s">
        <v>445</v>
      </c>
      <c r="L647" s="157"/>
      <c r="M647" s="292">
        <v>805</v>
      </c>
    </row>
    <row r="648" spans="1:13" s="3" customFormat="1" ht="18.95" customHeight="1">
      <c r="A648" s="156"/>
      <c r="B648" s="161"/>
      <c r="C648" s="33" t="s">
        <v>17</v>
      </c>
      <c r="D648" s="34">
        <f>D653+D728+D738</f>
        <v>527803.6</v>
      </c>
      <c r="E648" s="54">
        <f>E653+E728+E738</f>
        <v>197197.76468999998</v>
      </c>
      <c r="F648" s="54">
        <f>F653+F728+F738</f>
        <v>172814.23619999998</v>
      </c>
      <c r="G648" s="38">
        <f t="shared" si="47"/>
        <v>0.32742148064166293</v>
      </c>
      <c r="H648" s="152"/>
      <c r="I648" s="69" t="s">
        <v>18</v>
      </c>
      <c r="J648" s="69">
        <f>COUNTIF($J$662:$J$776,"да")</f>
        <v>0</v>
      </c>
      <c r="K648" s="163"/>
      <c r="L648" s="158"/>
      <c r="M648" s="292"/>
    </row>
    <row r="649" spans="1:13" s="3" customFormat="1" ht="18.95" customHeight="1">
      <c r="A649" s="156"/>
      <c r="B649" s="161"/>
      <c r="C649" s="33" t="s">
        <v>19</v>
      </c>
      <c r="D649" s="34">
        <f>D654+D729</f>
        <v>19880</v>
      </c>
      <c r="E649" s="54">
        <f t="shared" ref="E649:F651" si="48">E654+E729+E739</f>
        <v>4260</v>
      </c>
      <c r="F649" s="54">
        <f t="shared" si="48"/>
        <v>4260</v>
      </c>
      <c r="G649" s="38">
        <f t="shared" si="47"/>
        <v>0.21428571428571427</v>
      </c>
      <c r="H649" s="152"/>
      <c r="I649" s="69" t="s">
        <v>20</v>
      </c>
      <c r="J649" s="69">
        <f>COUNTIF($J$662:$J$776,"частично")</f>
        <v>10</v>
      </c>
      <c r="K649" s="163"/>
      <c r="L649" s="158"/>
      <c r="M649" s="292"/>
    </row>
    <row r="650" spans="1:13" s="3" customFormat="1" ht="18.95" customHeight="1">
      <c r="A650" s="156"/>
      <c r="B650" s="161"/>
      <c r="C650" s="33" t="s">
        <v>21</v>
      </c>
      <c r="D650" s="34">
        <v>0</v>
      </c>
      <c r="E650" s="54">
        <f t="shared" si="48"/>
        <v>0</v>
      </c>
      <c r="F650" s="54">
        <f t="shared" si="48"/>
        <v>0</v>
      </c>
      <c r="G650" s="38">
        <f t="shared" si="47"/>
        <v>0</v>
      </c>
      <c r="H650" s="152"/>
      <c r="I650" s="69" t="s">
        <v>22</v>
      </c>
      <c r="J650" s="69">
        <f>COUNTIF($J$662:$J$776,"нет")</f>
        <v>6</v>
      </c>
      <c r="K650" s="163"/>
      <c r="L650" s="158"/>
      <c r="M650" s="292"/>
    </row>
    <row r="651" spans="1:13" s="3" customFormat="1" ht="18.95" customHeight="1">
      <c r="A651" s="156"/>
      <c r="B651" s="161"/>
      <c r="C651" s="33" t="s">
        <v>31</v>
      </c>
      <c r="D651" s="34">
        <f>D656+D731</f>
        <v>0</v>
      </c>
      <c r="E651" s="54">
        <f t="shared" si="48"/>
        <v>0</v>
      </c>
      <c r="F651" s="54">
        <f t="shared" si="48"/>
        <v>0</v>
      </c>
      <c r="G651" s="38">
        <f t="shared" si="47"/>
        <v>0</v>
      </c>
      <c r="H651" s="152"/>
      <c r="I651" s="69" t="s">
        <v>24</v>
      </c>
      <c r="J651" s="70">
        <f>IF(J647=0,0,(J648+J649*0.5)/J647)</f>
        <v>0.3125</v>
      </c>
      <c r="K651" s="163"/>
      <c r="L651" s="159"/>
      <c r="M651" s="292"/>
    </row>
    <row r="652" spans="1:13" s="3" customFormat="1" ht="18.95" customHeight="1">
      <c r="A652" s="123" t="s">
        <v>446</v>
      </c>
      <c r="B652" s="121" t="s">
        <v>447</v>
      </c>
      <c r="C652" s="40" t="s">
        <v>14</v>
      </c>
      <c r="D652" s="41">
        <f>SUM(D653:D656)</f>
        <v>383836.1</v>
      </c>
      <c r="E652" s="42">
        <f>SUM(E653:E656)</f>
        <v>150527.22652999999</v>
      </c>
      <c r="F652" s="42">
        <f>SUM(F653:F656)</f>
        <v>132334.59739000001</v>
      </c>
      <c r="G652" s="43">
        <f t="shared" si="47"/>
        <v>0.34476850246758972</v>
      </c>
      <c r="H652" s="121" t="s">
        <v>448</v>
      </c>
      <c r="I652" s="65" t="s">
        <v>15</v>
      </c>
      <c r="J652" s="65">
        <v>9</v>
      </c>
      <c r="K652" s="121" t="s">
        <v>445</v>
      </c>
      <c r="L652" s="125"/>
      <c r="M652" s="292">
        <v>805</v>
      </c>
    </row>
    <row r="653" spans="1:13" s="3" customFormat="1" ht="18.95" customHeight="1">
      <c r="A653" s="124"/>
      <c r="B653" s="122"/>
      <c r="C653" s="40" t="s">
        <v>17</v>
      </c>
      <c r="D653" s="41">
        <f>SUM(D658,D663,D668,D673,D678,D683,D688,D693,D698,D703,D708,D713,D718,D723)</f>
        <v>363956.1</v>
      </c>
      <c r="E653" s="42">
        <f t="shared" ref="E653:F656" si="49">E658+E663+E668+E673+E678+E683+E688+E693+E698+E708+E713+E718+E723+E703</f>
        <v>146267.22652999999</v>
      </c>
      <c r="F653" s="42">
        <f t="shared" si="49"/>
        <v>128074.59739</v>
      </c>
      <c r="G653" s="45">
        <f t="shared" si="47"/>
        <v>0.35189572970476385</v>
      </c>
      <c r="H653" s="122"/>
      <c r="I653" s="65" t="s">
        <v>18</v>
      </c>
      <c r="J653" s="65">
        <f>COUNTIF($J$662:$J$721,"да")</f>
        <v>0</v>
      </c>
      <c r="K653" s="122"/>
      <c r="L653" s="126"/>
      <c r="M653" s="292"/>
    </row>
    <row r="654" spans="1:13" s="3" customFormat="1" ht="18.95" customHeight="1">
      <c r="A654" s="124"/>
      <c r="B654" s="122"/>
      <c r="C654" s="40" t="s">
        <v>19</v>
      </c>
      <c r="D654" s="41">
        <f>SUM(D659,D664,D669,D674,D679,D684,D689,D694,D699,D704,D709,D714,D719,D724)</f>
        <v>19880</v>
      </c>
      <c r="E654" s="42">
        <f t="shared" si="49"/>
        <v>4260</v>
      </c>
      <c r="F654" s="42">
        <f t="shared" si="49"/>
        <v>4260</v>
      </c>
      <c r="G654" s="45">
        <f t="shared" si="47"/>
        <v>0.21428571428571427</v>
      </c>
      <c r="H654" s="122"/>
      <c r="I654" s="65" t="s">
        <v>20</v>
      </c>
      <c r="J654" s="65">
        <f>COUNTIF($J$662:$J$721,"частично")</f>
        <v>5</v>
      </c>
      <c r="K654" s="122"/>
      <c r="L654" s="126"/>
      <c r="M654" s="292"/>
    </row>
    <row r="655" spans="1:13" s="3" customFormat="1" ht="18.95" customHeight="1">
      <c r="A655" s="124"/>
      <c r="B655" s="122"/>
      <c r="C655" s="40" t="s">
        <v>21</v>
      </c>
      <c r="D655" s="41">
        <v>0</v>
      </c>
      <c r="E655" s="42">
        <f t="shared" si="49"/>
        <v>0</v>
      </c>
      <c r="F655" s="42">
        <f t="shared" si="49"/>
        <v>0</v>
      </c>
      <c r="G655" s="45">
        <f t="shared" si="47"/>
        <v>0</v>
      </c>
      <c r="H655" s="122"/>
      <c r="I655" s="65" t="s">
        <v>22</v>
      </c>
      <c r="J655" s="65">
        <f>COUNTIF($J$662:$J$721,"нет")</f>
        <v>4</v>
      </c>
      <c r="K655" s="122"/>
      <c r="L655" s="126"/>
      <c r="M655" s="292"/>
    </row>
    <row r="656" spans="1:13" s="3" customFormat="1" ht="18.95" customHeight="1">
      <c r="A656" s="124"/>
      <c r="B656" s="122"/>
      <c r="C656" s="40" t="s">
        <v>31</v>
      </c>
      <c r="D656" s="41">
        <f>SUM(D661,D666,D671,D676,D681,D686,D691,D696,D701,D706,D711,D716,D721,D726)</f>
        <v>0</v>
      </c>
      <c r="E656" s="42">
        <f t="shared" si="49"/>
        <v>0</v>
      </c>
      <c r="F656" s="42">
        <f t="shared" si="49"/>
        <v>0</v>
      </c>
      <c r="G656" s="45">
        <f t="shared" si="47"/>
        <v>0</v>
      </c>
      <c r="H656" s="122"/>
      <c r="I656" s="65" t="s">
        <v>24</v>
      </c>
      <c r="J656" s="66">
        <f>IF(J652=0,0,(J653+J654*0.5)/J652)</f>
        <v>0.27777777777777779</v>
      </c>
      <c r="K656" s="122"/>
      <c r="L656" s="127"/>
      <c r="M656" s="292"/>
    </row>
    <row r="657" spans="1:13" s="3" customFormat="1" ht="18.95" hidden="1" customHeight="1">
      <c r="A657" s="107" t="s">
        <v>449</v>
      </c>
      <c r="B657" s="107" t="s">
        <v>450</v>
      </c>
      <c r="C657" s="27" t="s">
        <v>14</v>
      </c>
      <c r="D657" s="28">
        <f>SUM(D658:D661)</f>
        <v>0</v>
      </c>
      <c r="E657" s="30">
        <f>SUM(E658:E661)</f>
        <v>0</v>
      </c>
      <c r="F657" s="30">
        <f>SUM(F658:F661)</f>
        <v>0</v>
      </c>
      <c r="G657" s="29">
        <f t="shared" ref="G657:G739" si="50">IF(D657&lt;&gt;0,F657/D657,0)</f>
        <v>0</v>
      </c>
      <c r="H657" s="149" t="s">
        <v>451</v>
      </c>
      <c r="I657" s="111" t="s">
        <v>716</v>
      </c>
      <c r="J657" s="111"/>
      <c r="K657" s="153" t="s">
        <v>452</v>
      </c>
      <c r="L657" s="104" t="s">
        <v>453</v>
      </c>
      <c r="M657" s="1"/>
    </row>
    <row r="658" spans="1:13" s="3" customFormat="1" ht="18.95" hidden="1" customHeight="1">
      <c r="A658" s="108"/>
      <c r="B658" s="108"/>
      <c r="C658" s="27" t="s">
        <v>17</v>
      </c>
      <c r="D658" s="28">
        <v>0</v>
      </c>
      <c r="E658" s="30">
        <v>0</v>
      </c>
      <c r="F658" s="30">
        <v>0</v>
      </c>
      <c r="G658" s="31">
        <f t="shared" si="50"/>
        <v>0</v>
      </c>
      <c r="H658" s="150"/>
      <c r="I658" s="112"/>
      <c r="J658" s="112"/>
      <c r="K658" s="154"/>
      <c r="L658" s="105"/>
      <c r="M658" s="1"/>
    </row>
    <row r="659" spans="1:13" s="3" customFormat="1" ht="18.95" hidden="1" customHeight="1">
      <c r="A659" s="108"/>
      <c r="B659" s="108"/>
      <c r="C659" s="27" t="s">
        <v>19</v>
      </c>
      <c r="D659" s="28">
        <v>0</v>
      </c>
      <c r="E659" s="30">
        <v>0</v>
      </c>
      <c r="F659" s="30">
        <v>0</v>
      </c>
      <c r="G659" s="31">
        <f t="shared" si="50"/>
        <v>0</v>
      </c>
      <c r="H659" s="150"/>
      <c r="I659" s="112"/>
      <c r="J659" s="112"/>
      <c r="K659" s="154"/>
      <c r="L659" s="105"/>
      <c r="M659" s="1"/>
    </row>
    <row r="660" spans="1:13" s="3" customFormat="1" ht="18.95" hidden="1" customHeight="1">
      <c r="A660" s="108"/>
      <c r="B660" s="108"/>
      <c r="C660" s="27" t="s">
        <v>21</v>
      </c>
      <c r="D660" s="28">
        <v>0</v>
      </c>
      <c r="E660" s="30">
        <v>0</v>
      </c>
      <c r="F660" s="30">
        <v>0</v>
      </c>
      <c r="G660" s="31">
        <f t="shared" si="50"/>
        <v>0</v>
      </c>
      <c r="H660" s="150"/>
      <c r="I660" s="112"/>
      <c r="J660" s="112"/>
      <c r="K660" s="154"/>
      <c r="L660" s="105"/>
      <c r="M660" s="1"/>
    </row>
    <row r="661" spans="1:13" s="3" customFormat="1" ht="18.95" hidden="1" customHeight="1">
      <c r="A661" s="108"/>
      <c r="B661" s="108"/>
      <c r="C661" s="27" t="s">
        <v>31</v>
      </c>
      <c r="D661" s="28">
        <v>0</v>
      </c>
      <c r="E661" s="30">
        <v>0</v>
      </c>
      <c r="F661" s="30">
        <v>0</v>
      </c>
      <c r="G661" s="31">
        <f t="shared" si="50"/>
        <v>0</v>
      </c>
      <c r="H661" s="150"/>
      <c r="I661" s="113"/>
      <c r="J661" s="113"/>
      <c r="K661" s="154"/>
      <c r="L661" s="106"/>
      <c r="M661" s="1"/>
    </row>
    <row r="662" spans="1:13" s="3" customFormat="1" ht="18.95" customHeight="1">
      <c r="A662" s="107" t="s">
        <v>454</v>
      </c>
      <c r="B662" s="107" t="s">
        <v>455</v>
      </c>
      <c r="C662" s="27" t="s">
        <v>14</v>
      </c>
      <c r="D662" s="28">
        <f>SUM(D663:D666)</f>
        <v>55.4</v>
      </c>
      <c r="E662" s="30">
        <f>SUM(E663:E666)</f>
        <v>25</v>
      </c>
      <c r="F662" s="30">
        <f>SUM(F663:F666)</f>
        <v>25</v>
      </c>
      <c r="G662" s="29">
        <f t="shared" si="50"/>
        <v>0.45126353790613721</v>
      </c>
      <c r="H662" s="149" t="s">
        <v>456</v>
      </c>
      <c r="I662" s="111" t="s">
        <v>751</v>
      </c>
      <c r="J662" s="111" t="s">
        <v>701</v>
      </c>
      <c r="K662" s="109" t="s">
        <v>457</v>
      </c>
      <c r="L662" s="104" t="s">
        <v>717</v>
      </c>
      <c r="M662" s="292">
        <v>805</v>
      </c>
    </row>
    <row r="663" spans="1:13" s="3" customFormat="1" ht="18.95" customHeight="1">
      <c r="A663" s="108"/>
      <c r="B663" s="108"/>
      <c r="C663" s="27" t="s">
        <v>17</v>
      </c>
      <c r="D663" s="28">
        <v>55.4</v>
      </c>
      <c r="E663" s="30">
        <v>25</v>
      </c>
      <c r="F663" s="30">
        <v>25</v>
      </c>
      <c r="G663" s="31">
        <f t="shared" si="50"/>
        <v>0.45126353790613721</v>
      </c>
      <c r="H663" s="150"/>
      <c r="I663" s="112"/>
      <c r="J663" s="112"/>
      <c r="K663" s="110"/>
      <c r="L663" s="105"/>
      <c r="M663" s="292"/>
    </row>
    <row r="664" spans="1:13" s="3" customFormat="1" ht="18.95" customHeight="1">
      <c r="A664" s="108"/>
      <c r="B664" s="108"/>
      <c r="C664" s="27" t="s">
        <v>19</v>
      </c>
      <c r="D664" s="28">
        <v>0</v>
      </c>
      <c r="E664" s="30">
        <v>0</v>
      </c>
      <c r="F664" s="30">
        <v>0</v>
      </c>
      <c r="G664" s="31">
        <f t="shared" si="50"/>
        <v>0</v>
      </c>
      <c r="H664" s="150"/>
      <c r="I664" s="112"/>
      <c r="J664" s="112"/>
      <c r="K664" s="110"/>
      <c r="L664" s="105"/>
      <c r="M664" s="292"/>
    </row>
    <row r="665" spans="1:13" s="3" customFormat="1" ht="18.95" customHeight="1">
      <c r="A665" s="108"/>
      <c r="B665" s="108"/>
      <c r="C665" s="27" t="s">
        <v>21</v>
      </c>
      <c r="D665" s="28">
        <v>0</v>
      </c>
      <c r="E665" s="30">
        <v>0</v>
      </c>
      <c r="F665" s="30">
        <v>0</v>
      </c>
      <c r="G665" s="31">
        <f t="shared" si="50"/>
        <v>0</v>
      </c>
      <c r="H665" s="150"/>
      <c r="I665" s="112"/>
      <c r="J665" s="112"/>
      <c r="K665" s="110"/>
      <c r="L665" s="105"/>
      <c r="M665" s="292"/>
    </row>
    <row r="666" spans="1:13" s="3" customFormat="1" ht="18.95" customHeight="1">
      <c r="A666" s="108"/>
      <c r="B666" s="108"/>
      <c r="C666" s="27" t="s">
        <v>31</v>
      </c>
      <c r="D666" s="28">
        <v>0</v>
      </c>
      <c r="E666" s="30">
        <v>0</v>
      </c>
      <c r="F666" s="30">
        <v>0</v>
      </c>
      <c r="G666" s="31">
        <f t="shared" si="50"/>
        <v>0</v>
      </c>
      <c r="H666" s="150"/>
      <c r="I666" s="113"/>
      <c r="J666" s="113"/>
      <c r="K666" s="110"/>
      <c r="L666" s="106"/>
      <c r="M666" s="292"/>
    </row>
    <row r="667" spans="1:13" s="3" customFormat="1" ht="18.95" hidden="1" customHeight="1">
      <c r="A667" s="107" t="s">
        <v>458</v>
      </c>
      <c r="B667" s="107" t="s">
        <v>459</v>
      </c>
      <c r="C667" s="27" t="s">
        <v>14</v>
      </c>
      <c r="D667" s="28">
        <f>D668</f>
        <v>0</v>
      </c>
      <c r="E667" s="30">
        <f>SUM(E668:E671)</f>
        <v>0</v>
      </c>
      <c r="F667" s="30">
        <f>SUM(F668:F671)</f>
        <v>0</v>
      </c>
      <c r="G667" s="29">
        <f t="shared" si="50"/>
        <v>0</v>
      </c>
      <c r="H667" s="149" t="s">
        <v>460</v>
      </c>
      <c r="I667" s="111"/>
      <c r="J667" s="111"/>
      <c r="K667" s="109" t="s">
        <v>452</v>
      </c>
      <c r="L667" s="104" t="s">
        <v>752</v>
      </c>
      <c r="M667" s="1"/>
    </row>
    <row r="668" spans="1:13" s="3" customFormat="1" ht="18.95" hidden="1" customHeight="1">
      <c r="A668" s="108"/>
      <c r="B668" s="108"/>
      <c r="C668" s="27" t="s">
        <v>17</v>
      </c>
      <c r="D668" s="28">
        <v>0</v>
      </c>
      <c r="E668" s="30">
        <v>0</v>
      </c>
      <c r="F668" s="30">
        <v>0</v>
      </c>
      <c r="G668" s="31">
        <f t="shared" si="50"/>
        <v>0</v>
      </c>
      <c r="H668" s="150"/>
      <c r="I668" s="112"/>
      <c r="J668" s="112"/>
      <c r="K668" s="110"/>
      <c r="L668" s="105"/>
      <c r="M668" s="1"/>
    </row>
    <row r="669" spans="1:13" s="3" customFormat="1" ht="18.95" hidden="1" customHeight="1">
      <c r="A669" s="108"/>
      <c r="B669" s="108"/>
      <c r="C669" s="27" t="s">
        <v>19</v>
      </c>
      <c r="D669" s="28">
        <v>0</v>
      </c>
      <c r="E669" s="30">
        <v>0</v>
      </c>
      <c r="F669" s="30">
        <v>0</v>
      </c>
      <c r="G669" s="31">
        <f t="shared" si="50"/>
        <v>0</v>
      </c>
      <c r="H669" s="150"/>
      <c r="I669" s="112"/>
      <c r="J669" s="112"/>
      <c r="K669" s="110"/>
      <c r="L669" s="105"/>
      <c r="M669" s="1"/>
    </row>
    <row r="670" spans="1:13" s="3" customFormat="1" ht="18.95" hidden="1" customHeight="1">
      <c r="A670" s="108"/>
      <c r="B670" s="108"/>
      <c r="C670" s="27" t="s">
        <v>21</v>
      </c>
      <c r="D670" s="28">
        <v>0</v>
      </c>
      <c r="E670" s="30">
        <v>0</v>
      </c>
      <c r="F670" s="30">
        <v>0</v>
      </c>
      <c r="G670" s="31">
        <f t="shared" si="50"/>
        <v>0</v>
      </c>
      <c r="H670" s="150"/>
      <c r="I670" s="112"/>
      <c r="J670" s="112"/>
      <c r="K670" s="110"/>
      <c r="L670" s="105"/>
      <c r="M670" s="1"/>
    </row>
    <row r="671" spans="1:13" s="3" customFormat="1" ht="18.95" hidden="1" customHeight="1">
      <c r="A671" s="108"/>
      <c r="B671" s="108"/>
      <c r="C671" s="27" t="s">
        <v>31</v>
      </c>
      <c r="D671" s="28">
        <v>0</v>
      </c>
      <c r="E671" s="30">
        <v>0</v>
      </c>
      <c r="F671" s="30">
        <v>0</v>
      </c>
      <c r="G671" s="31">
        <f t="shared" si="50"/>
        <v>0</v>
      </c>
      <c r="H671" s="150"/>
      <c r="I671" s="113"/>
      <c r="J671" s="113"/>
      <c r="K671" s="110"/>
      <c r="L671" s="106"/>
      <c r="M671" s="1"/>
    </row>
    <row r="672" spans="1:13" s="3" customFormat="1" ht="18.95" hidden="1" customHeight="1">
      <c r="A672" s="107" t="s">
        <v>461</v>
      </c>
      <c r="B672" s="107" t="s">
        <v>462</v>
      </c>
      <c r="C672" s="27" t="s">
        <v>14</v>
      </c>
      <c r="D672" s="28">
        <f>SUM(D673:D676)</f>
        <v>0</v>
      </c>
      <c r="E672" s="30">
        <f>SUM(E673:E676)</f>
        <v>0</v>
      </c>
      <c r="F672" s="30">
        <f>SUM(F673:F676)</f>
        <v>0</v>
      </c>
      <c r="G672" s="29">
        <f t="shared" si="50"/>
        <v>0</v>
      </c>
      <c r="H672" s="149" t="s">
        <v>463</v>
      </c>
      <c r="I672" s="111"/>
      <c r="J672" s="111"/>
      <c r="K672" s="153" t="s">
        <v>464</v>
      </c>
      <c r="L672" s="104" t="s">
        <v>752</v>
      </c>
      <c r="M672" s="1"/>
    </row>
    <row r="673" spans="1:13" s="3" customFormat="1" ht="18.95" hidden="1" customHeight="1">
      <c r="A673" s="108"/>
      <c r="B673" s="108"/>
      <c r="C673" s="27" t="s">
        <v>17</v>
      </c>
      <c r="D673" s="28">
        <v>0</v>
      </c>
      <c r="E673" s="30">
        <v>0</v>
      </c>
      <c r="F673" s="30">
        <v>0</v>
      </c>
      <c r="G673" s="31">
        <f t="shared" si="50"/>
        <v>0</v>
      </c>
      <c r="H673" s="150"/>
      <c r="I673" s="112"/>
      <c r="J673" s="112"/>
      <c r="K673" s="154"/>
      <c r="L673" s="105"/>
      <c r="M673" s="1"/>
    </row>
    <row r="674" spans="1:13" s="3" customFormat="1" ht="18.95" hidden="1" customHeight="1">
      <c r="A674" s="108"/>
      <c r="B674" s="108"/>
      <c r="C674" s="27" t="s">
        <v>19</v>
      </c>
      <c r="D674" s="28">
        <v>0</v>
      </c>
      <c r="E674" s="30">
        <v>0</v>
      </c>
      <c r="F674" s="30">
        <v>0</v>
      </c>
      <c r="G674" s="31">
        <f t="shared" si="50"/>
        <v>0</v>
      </c>
      <c r="H674" s="150"/>
      <c r="I674" s="112"/>
      <c r="J674" s="112"/>
      <c r="K674" s="154"/>
      <c r="L674" s="105"/>
      <c r="M674" s="1"/>
    </row>
    <row r="675" spans="1:13" s="3" customFormat="1" ht="18.95" hidden="1" customHeight="1">
      <c r="A675" s="108"/>
      <c r="B675" s="108"/>
      <c r="C675" s="27" t="s">
        <v>21</v>
      </c>
      <c r="D675" s="28">
        <v>0</v>
      </c>
      <c r="E675" s="30">
        <v>0</v>
      </c>
      <c r="F675" s="30">
        <v>0</v>
      </c>
      <c r="G675" s="31">
        <f t="shared" si="50"/>
        <v>0</v>
      </c>
      <c r="H675" s="150"/>
      <c r="I675" s="112"/>
      <c r="J675" s="112"/>
      <c r="K675" s="154"/>
      <c r="L675" s="105"/>
      <c r="M675" s="1"/>
    </row>
    <row r="676" spans="1:13" s="3" customFormat="1" ht="18.95" hidden="1" customHeight="1">
      <c r="A676" s="108"/>
      <c r="B676" s="108"/>
      <c r="C676" s="27" t="s">
        <v>31</v>
      </c>
      <c r="D676" s="28">
        <v>0</v>
      </c>
      <c r="E676" s="30">
        <v>0</v>
      </c>
      <c r="F676" s="30">
        <v>0</v>
      </c>
      <c r="G676" s="31">
        <f t="shared" si="50"/>
        <v>0</v>
      </c>
      <c r="H676" s="150"/>
      <c r="I676" s="113"/>
      <c r="J676" s="113"/>
      <c r="K676" s="154"/>
      <c r="L676" s="106"/>
      <c r="M676" s="1"/>
    </row>
    <row r="677" spans="1:13" s="3" customFormat="1" ht="18.95" customHeight="1">
      <c r="A677" s="107" t="s">
        <v>465</v>
      </c>
      <c r="B677" s="107" t="s">
        <v>466</v>
      </c>
      <c r="C677" s="27" t="s">
        <v>14</v>
      </c>
      <c r="D677" s="28">
        <f>D678+D679</f>
        <v>28000</v>
      </c>
      <c r="E677" s="71">
        <f>SUM(E678:E681)</f>
        <v>6000</v>
      </c>
      <c r="F677" s="30">
        <f>SUM(F678:F681)</f>
        <v>6000</v>
      </c>
      <c r="G677" s="29">
        <f t="shared" si="50"/>
        <v>0.21428571428571427</v>
      </c>
      <c r="H677" s="109" t="s">
        <v>467</v>
      </c>
      <c r="I677" s="111" t="s">
        <v>753</v>
      </c>
      <c r="J677" s="164" t="s">
        <v>105</v>
      </c>
      <c r="K677" s="109" t="s">
        <v>452</v>
      </c>
      <c r="L677" s="104" t="s">
        <v>754</v>
      </c>
      <c r="M677" s="292">
        <v>805</v>
      </c>
    </row>
    <row r="678" spans="1:13" s="3" customFormat="1" ht="18.95" customHeight="1">
      <c r="A678" s="108"/>
      <c r="B678" s="108"/>
      <c r="C678" s="27" t="s">
        <v>17</v>
      </c>
      <c r="D678" s="28">
        <v>8120</v>
      </c>
      <c r="E678" s="71">
        <v>1740</v>
      </c>
      <c r="F678" s="30">
        <v>1740</v>
      </c>
      <c r="G678" s="31">
        <f t="shared" si="50"/>
        <v>0.21428571428571427</v>
      </c>
      <c r="H678" s="110"/>
      <c r="I678" s="112"/>
      <c r="J678" s="164"/>
      <c r="K678" s="110"/>
      <c r="L678" s="105"/>
      <c r="M678" s="292"/>
    </row>
    <row r="679" spans="1:13" s="3" customFormat="1" ht="18.95" customHeight="1">
      <c r="A679" s="108"/>
      <c r="B679" s="108"/>
      <c r="C679" s="27" t="s">
        <v>19</v>
      </c>
      <c r="D679" s="28">
        <v>19880</v>
      </c>
      <c r="E679" s="71">
        <v>4260</v>
      </c>
      <c r="F679" s="30">
        <v>4260</v>
      </c>
      <c r="G679" s="31">
        <f t="shared" si="50"/>
        <v>0.21428571428571427</v>
      </c>
      <c r="H679" s="110"/>
      <c r="I679" s="112"/>
      <c r="J679" s="164"/>
      <c r="K679" s="110"/>
      <c r="L679" s="105"/>
      <c r="M679" s="292"/>
    </row>
    <row r="680" spans="1:13" s="3" customFormat="1" ht="18.95" customHeight="1">
      <c r="A680" s="108"/>
      <c r="B680" s="108"/>
      <c r="C680" s="27" t="s">
        <v>21</v>
      </c>
      <c r="D680" s="28">
        <v>0</v>
      </c>
      <c r="E680" s="71">
        <v>0</v>
      </c>
      <c r="F680" s="30">
        <v>0</v>
      </c>
      <c r="G680" s="31">
        <f t="shared" si="50"/>
        <v>0</v>
      </c>
      <c r="H680" s="110"/>
      <c r="I680" s="112"/>
      <c r="J680" s="164"/>
      <c r="K680" s="110"/>
      <c r="L680" s="105"/>
      <c r="M680" s="292"/>
    </row>
    <row r="681" spans="1:13" s="3" customFormat="1" ht="18.95" customHeight="1">
      <c r="A681" s="108"/>
      <c r="B681" s="108"/>
      <c r="C681" s="27" t="s">
        <v>31</v>
      </c>
      <c r="D681" s="28">
        <v>0</v>
      </c>
      <c r="E681" s="71">
        <v>0</v>
      </c>
      <c r="F681" s="30">
        <v>0</v>
      </c>
      <c r="G681" s="31">
        <f t="shared" si="50"/>
        <v>0</v>
      </c>
      <c r="H681" s="110"/>
      <c r="I681" s="113"/>
      <c r="J681" s="164"/>
      <c r="K681" s="110"/>
      <c r="L681" s="106"/>
      <c r="M681" s="292"/>
    </row>
    <row r="682" spans="1:13" s="3" customFormat="1" ht="18.95" hidden="1" customHeight="1">
      <c r="A682" s="107" t="s">
        <v>468</v>
      </c>
      <c r="B682" s="107" t="s">
        <v>469</v>
      </c>
      <c r="C682" s="27" t="s">
        <v>14</v>
      </c>
      <c r="D682" s="28">
        <f>SUM(D683:D686)</f>
        <v>0</v>
      </c>
      <c r="E682" s="71">
        <f>SUM(E683:E686)</f>
        <v>0</v>
      </c>
      <c r="F682" s="30">
        <f>SUM(F683:F686)</f>
        <v>0</v>
      </c>
      <c r="G682" s="29">
        <f t="shared" ref="G682:G696" si="51">IF(D682&lt;&gt;0,F682/D682,0)</f>
        <v>0</v>
      </c>
      <c r="H682" s="149" t="s">
        <v>470</v>
      </c>
      <c r="I682" s="111" t="s">
        <v>716</v>
      </c>
      <c r="J682" s="111"/>
      <c r="K682" s="153" t="s">
        <v>452</v>
      </c>
      <c r="L682" s="104"/>
      <c r="M682" s="1"/>
    </row>
    <row r="683" spans="1:13" s="3" customFormat="1" ht="18.95" hidden="1" customHeight="1">
      <c r="A683" s="108"/>
      <c r="B683" s="108"/>
      <c r="C683" s="27" t="s">
        <v>17</v>
      </c>
      <c r="D683" s="28">
        <v>0</v>
      </c>
      <c r="E683" s="71">
        <v>0</v>
      </c>
      <c r="F683" s="30">
        <v>0</v>
      </c>
      <c r="G683" s="31">
        <f t="shared" si="51"/>
        <v>0</v>
      </c>
      <c r="H683" s="150"/>
      <c r="I683" s="112"/>
      <c r="J683" s="112"/>
      <c r="K683" s="154"/>
      <c r="L683" s="105"/>
      <c r="M683" s="1"/>
    </row>
    <row r="684" spans="1:13" s="3" customFormat="1" ht="18.95" hidden="1" customHeight="1">
      <c r="A684" s="108"/>
      <c r="B684" s="108"/>
      <c r="C684" s="27" t="s">
        <v>19</v>
      </c>
      <c r="D684" s="28">
        <v>0</v>
      </c>
      <c r="E684" s="71">
        <v>0</v>
      </c>
      <c r="F684" s="30">
        <v>0</v>
      </c>
      <c r="G684" s="31">
        <f t="shared" si="51"/>
        <v>0</v>
      </c>
      <c r="H684" s="150"/>
      <c r="I684" s="112"/>
      <c r="J684" s="112"/>
      <c r="K684" s="154"/>
      <c r="L684" s="105"/>
      <c r="M684" s="1"/>
    </row>
    <row r="685" spans="1:13" s="3" customFormat="1" ht="18.95" hidden="1" customHeight="1">
      <c r="A685" s="108"/>
      <c r="B685" s="108"/>
      <c r="C685" s="27" t="s">
        <v>21</v>
      </c>
      <c r="D685" s="28">
        <v>0</v>
      </c>
      <c r="E685" s="71">
        <v>0</v>
      </c>
      <c r="F685" s="30">
        <v>0</v>
      </c>
      <c r="G685" s="31">
        <f t="shared" si="51"/>
        <v>0</v>
      </c>
      <c r="H685" s="150"/>
      <c r="I685" s="112"/>
      <c r="J685" s="112"/>
      <c r="K685" s="154"/>
      <c r="L685" s="105"/>
      <c r="M685" s="1"/>
    </row>
    <row r="686" spans="1:13" s="3" customFormat="1" ht="18.95" hidden="1" customHeight="1">
      <c r="A686" s="108"/>
      <c r="B686" s="108"/>
      <c r="C686" s="27" t="s">
        <v>31</v>
      </c>
      <c r="D686" s="28">
        <v>0</v>
      </c>
      <c r="E686" s="71">
        <v>0</v>
      </c>
      <c r="F686" s="30">
        <v>0</v>
      </c>
      <c r="G686" s="31">
        <f t="shared" si="51"/>
        <v>0</v>
      </c>
      <c r="H686" s="150"/>
      <c r="I686" s="113"/>
      <c r="J686" s="113"/>
      <c r="K686" s="154"/>
      <c r="L686" s="106"/>
      <c r="M686" s="1"/>
    </row>
    <row r="687" spans="1:13" s="3" customFormat="1" ht="18.95" customHeight="1">
      <c r="A687" s="107" t="s">
        <v>471</v>
      </c>
      <c r="B687" s="170" t="s">
        <v>472</v>
      </c>
      <c r="C687" s="27" t="s">
        <v>14</v>
      </c>
      <c r="D687" s="28">
        <f>SUM(D688:D691)</f>
        <v>146324.79999999999</v>
      </c>
      <c r="E687" s="71">
        <f>SUM(E688:E691)</f>
        <v>64229.254439999997</v>
      </c>
      <c r="F687" s="30">
        <f>SUM(F688:F691)</f>
        <v>53980.688039999994</v>
      </c>
      <c r="G687" s="29">
        <f t="shared" si="51"/>
        <v>0.36891004149672507</v>
      </c>
      <c r="H687" s="149" t="s">
        <v>473</v>
      </c>
      <c r="I687" s="165" t="s">
        <v>840</v>
      </c>
      <c r="J687" s="111" t="s">
        <v>701</v>
      </c>
      <c r="K687" s="109" t="s">
        <v>452</v>
      </c>
      <c r="L687" s="104" t="s">
        <v>755</v>
      </c>
      <c r="M687" s="292">
        <v>805</v>
      </c>
    </row>
    <row r="688" spans="1:13" s="3" customFormat="1" ht="18.95" customHeight="1">
      <c r="A688" s="108"/>
      <c r="B688" s="171"/>
      <c r="C688" s="27" t="s">
        <v>17</v>
      </c>
      <c r="D688" s="28">
        <v>146324.79999999999</v>
      </c>
      <c r="E688" s="30">
        <v>64229.254439999997</v>
      </c>
      <c r="F688" s="30">
        <v>53980.688039999994</v>
      </c>
      <c r="G688" s="31">
        <f t="shared" si="51"/>
        <v>0.36891004149672507</v>
      </c>
      <c r="H688" s="150"/>
      <c r="I688" s="166"/>
      <c r="J688" s="112"/>
      <c r="K688" s="110"/>
      <c r="L688" s="105"/>
      <c r="M688" s="292"/>
    </row>
    <row r="689" spans="1:13" s="3" customFormat="1" ht="18.95" customHeight="1">
      <c r="A689" s="108"/>
      <c r="B689" s="171"/>
      <c r="C689" s="27" t="s">
        <v>19</v>
      </c>
      <c r="D689" s="28">
        <v>0</v>
      </c>
      <c r="E689" s="30">
        <v>0</v>
      </c>
      <c r="F689" s="30">
        <v>0</v>
      </c>
      <c r="G689" s="31">
        <f t="shared" si="51"/>
        <v>0</v>
      </c>
      <c r="H689" s="150"/>
      <c r="I689" s="166"/>
      <c r="J689" s="112"/>
      <c r="K689" s="110"/>
      <c r="L689" s="105"/>
      <c r="M689" s="292"/>
    </row>
    <row r="690" spans="1:13" s="3" customFormat="1" ht="18.95" customHeight="1">
      <c r="A690" s="108"/>
      <c r="B690" s="171"/>
      <c r="C690" s="27" t="s">
        <v>21</v>
      </c>
      <c r="D690" s="28">
        <v>0</v>
      </c>
      <c r="E690" s="30">
        <v>0</v>
      </c>
      <c r="F690" s="30">
        <v>0</v>
      </c>
      <c r="G690" s="31">
        <f t="shared" si="51"/>
        <v>0</v>
      </c>
      <c r="H690" s="150"/>
      <c r="I690" s="166"/>
      <c r="J690" s="112"/>
      <c r="K690" s="110"/>
      <c r="L690" s="105"/>
      <c r="M690" s="292"/>
    </row>
    <row r="691" spans="1:13" s="3" customFormat="1" ht="18.95" customHeight="1">
      <c r="A691" s="108"/>
      <c r="B691" s="171"/>
      <c r="C691" s="27" t="s">
        <v>31</v>
      </c>
      <c r="D691" s="28">
        <v>0</v>
      </c>
      <c r="E691" s="30">
        <v>0</v>
      </c>
      <c r="F691" s="30">
        <v>0</v>
      </c>
      <c r="G691" s="31">
        <f t="shared" si="51"/>
        <v>0</v>
      </c>
      <c r="H691" s="150"/>
      <c r="I691" s="167"/>
      <c r="J691" s="113"/>
      <c r="K691" s="110"/>
      <c r="L691" s="106"/>
      <c r="M691" s="292"/>
    </row>
    <row r="692" spans="1:13" s="3" customFormat="1" ht="18.95" customHeight="1">
      <c r="A692" s="107" t="s">
        <v>474</v>
      </c>
      <c r="B692" s="168" t="s">
        <v>475</v>
      </c>
      <c r="C692" s="27" t="s">
        <v>14</v>
      </c>
      <c r="D692" s="28">
        <f>SUM(D693:D696)</f>
        <v>1505.3</v>
      </c>
      <c r="E692" s="30">
        <f>SUM(E693:E696)</f>
        <v>1125.5238400000001</v>
      </c>
      <c r="F692" s="30">
        <f>SUM(F693:F696)</f>
        <v>1094.93</v>
      </c>
      <c r="G692" s="29">
        <f t="shared" si="51"/>
        <v>0.72738324586461178</v>
      </c>
      <c r="H692" s="149" t="s">
        <v>476</v>
      </c>
      <c r="I692" s="111" t="s">
        <v>756</v>
      </c>
      <c r="J692" s="111" t="s">
        <v>701</v>
      </c>
      <c r="K692" s="170" t="s">
        <v>477</v>
      </c>
      <c r="L692" s="104" t="s">
        <v>717</v>
      </c>
      <c r="M692" s="292">
        <v>805</v>
      </c>
    </row>
    <row r="693" spans="1:13" s="3" customFormat="1" ht="18.95" customHeight="1">
      <c r="A693" s="108"/>
      <c r="B693" s="169"/>
      <c r="C693" s="27" t="s">
        <v>17</v>
      </c>
      <c r="D693" s="76">
        <v>1505.3</v>
      </c>
      <c r="E693" s="30">
        <v>1125.5238400000001</v>
      </c>
      <c r="F693" s="30">
        <v>1094.93</v>
      </c>
      <c r="G693" s="31">
        <f t="shared" si="51"/>
        <v>0.72738324586461178</v>
      </c>
      <c r="H693" s="150"/>
      <c r="I693" s="112"/>
      <c r="J693" s="112"/>
      <c r="K693" s="171"/>
      <c r="L693" s="105"/>
      <c r="M693" s="292"/>
    </row>
    <row r="694" spans="1:13" s="3" customFormat="1" ht="18.95" customHeight="1">
      <c r="A694" s="108"/>
      <c r="B694" s="169"/>
      <c r="C694" s="27" t="s">
        <v>19</v>
      </c>
      <c r="D694" s="28">
        <v>0</v>
      </c>
      <c r="E694" s="30">
        <v>0</v>
      </c>
      <c r="F694" s="30">
        <v>0</v>
      </c>
      <c r="G694" s="31">
        <f t="shared" si="51"/>
        <v>0</v>
      </c>
      <c r="H694" s="150"/>
      <c r="I694" s="112"/>
      <c r="J694" s="112"/>
      <c r="K694" s="171"/>
      <c r="L694" s="105"/>
      <c r="M694" s="292"/>
    </row>
    <row r="695" spans="1:13" s="3" customFormat="1" ht="18.95" customHeight="1">
      <c r="A695" s="108"/>
      <c r="B695" s="169"/>
      <c r="C695" s="27" t="s">
        <v>21</v>
      </c>
      <c r="D695" s="28">
        <v>0</v>
      </c>
      <c r="E695" s="30">
        <v>0</v>
      </c>
      <c r="F695" s="30">
        <v>0</v>
      </c>
      <c r="G695" s="31">
        <f t="shared" si="51"/>
        <v>0</v>
      </c>
      <c r="H695" s="150"/>
      <c r="I695" s="112"/>
      <c r="J695" s="112"/>
      <c r="K695" s="171"/>
      <c r="L695" s="105"/>
      <c r="M695" s="292"/>
    </row>
    <row r="696" spans="1:13" s="3" customFormat="1" ht="19.5" customHeight="1">
      <c r="A696" s="108"/>
      <c r="B696" s="169"/>
      <c r="C696" s="27" t="s">
        <v>31</v>
      </c>
      <c r="D696" s="28">
        <v>0</v>
      </c>
      <c r="E696" s="30">
        <v>0</v>
      </c>
      <c r="F696" s="30">
        <v>0</v>
      </c>
      <c r="G696" s="31">
        <f t="shared" si="51"/>
        <v>0</v>
      </c>
      <c r="H696" s="150"/>
      <c r="I696" s="113"/>
      <c r="J696" s="113"/>
      <c r="K696" s="171"/>
      <c r="L696" s="106"/>
      <c r="M696" s="292"/>
    </row>
    <row r="697" spans="1:13" s="3" customFormat="1" ht="18.95" customHeight="1">
      <c r="A697" s="109" t="s">
        <v>478</v>
      </c>
      <c r="B697" s="109" t="s">
        <v>479</v>
      </c>
      <c r="C697" s="27" t="s">
        <v>14</v>
      </c>
      <c r="D697" s="28">
        <f>D698</f>
        <v>154443.4</v>
      </c>
      <c r="E697" s="30">
        <f>SUM(E698:E701)</f>
        <v>68398.904999999999</v>
      </c>
      <c r="F697" s="30">
        <f>SUM(F698:F701)</f>
        <v>62162.089849999997</v>
      </c>
      <c r="G697" s="29">
        <f t="shared" si="50"/>
        <v>0.40249107342884188</v>
      </c>
      <c r="H697" s="149" t="s">
        <v>480</v>
      </c>
      <c r="I697" s="111" t="s">
        <v>757</v>
      </c>
      <c r="J697" s="111" t="s">
        <v>701</v>
      </c>
      <c r="K697" s="109" t="s">
        <v>452</v>
      </c>
      <c r="L697" s="104" t="s">
        <v>755</v>
      </c>
      <c r="M697" s="292">
        <v>805</v>
      </c>
    </row>
    <row r="698" spans="1:13" s="3" customFormat="1" ht="18.95" customHeight="1">
      <c r="A698" s="110"/>
      <c r="B698" s="110"/>
      <c r="C698" s="27" t="s">
        <v>17</v>
      </c>
      <c r="D698" s="28">
        <v>154443.4</v>
      </c>
      <c r="E698" s="30">
        <v>68398.904999999999</v>
      </c>
      <c r="F698" s="30">
        <v>62162.089849999997</v>
      </c>
      <c r="G698" s="31">
        <f t="shared" si="50"/>
        <v>0.40249107342884188</v>
      </c>
      <c r="H698" s="150"/>
      <c r="I698" s="112"/>
      <c r="J698" s="112"/>
      <c r="K698" s="110"/>
      <c r="L698" s="105"/>
      <c r="M698" s="292"/>
    </row>
    <row r="699" spans="1:13" s="3" customFormat="1" ht="18.95" customHeight="1">
      <c r="A699" s="110"/>
      <c r="B699" s="110"/>
      <c r="C699" s="27" t="s">
        <v>19</v>
      </c>
      <c r="D699" s="28">
        <v>0</v>
      </c>
      <c r="E699" s="30">
        <v>0</v>
      </c>
      <c r="F699" s="30">
        <v>0</v>
      </c>
      <c r="G699" s="31">
        <f t="shared" si="50"/>
        <v>0</v>
      </c>
      <c r="H699" s="150"/>
      <c r="I699" s="112"/>
      <c r="J699" s="112"/>
      <c r="K699" s="110"/>
      <c r="L699" s="105"/>
      <c r="M699" s="292"/>
    </row>
    <row r="700" spans="1:13" s="3" customFormat="1" ht="18.95" customHeight="1">
      <c r="A700" s="110"/>
      <c r="B700" s="110"/>
      <c r="C700" s="27" t="s">
        <v>21</v>
      </c>
      <c r="D700" s="28">
        <v>0</v>
      </c>
      <c r="E700" s="30">
        <v>0</v>
      </c>
      <c r="F700" s="30">
        <v>0</v>
      </c>
      <c r="G700" s="31">
        <f t="shared" si="50"/>
        <v>0</v>
      </c>
      <c r="H700" s="150"/>
      <c r="I700" s="112"/>
      <c r="J700" s="112"/>
      <c r="K700" s="110"/>
      <c r="L700" s="105"/>
      <c r="M700" s="292"/>
    </row>
    <row r="701" spans="1:13" s="3" customFormat="1" ht="18.95" customHeight="1">
      <c r="A701" s="110"/>
      <c r="B701" s="110"/>
      <c r="C701" s="27" t="s">
        <v>31</v>
      </c>
      <c r="D701" s="28">
        <v>0</v>
      </c>
      <c r="E701" s="30">
        <v>0</v>
      </c>
      <c r="F701" s="30">
        <v>0</v>
      </c>
      <c r="G701" s="31">
        <f t="shared" si="50"/>
        <v>0</v>
      </c>
      <c r="H701" s="150"/>
      <c r="I701" s="113"/>
      <c r="J701" s="113"/>
      <c r="K701" s="110"/>
      <c r="L701" s="106"/>
      <c r="M701" s="292"/>
    </row>
    <row r="702" spans="1:13" s="3" customFormat="1" ht="18.95" customHeight="1">
      <c r="A702" s="109" t="s">
        <v>481</v>
      </c>
      <c r="B702" s="109" t="s">
        <v>482</v>
      </c>
      <c r="C702" s="27" t="s">
        <v>14</v>
      </c>
      <c r="D702" s="28">
        <f>D703</f>
        <v>29067.8</v>
      </c>
      <c r="E702" s="30">
        <f>SUM(E703:E706)</f>
        <v>5807.1977500000003</v>
      </c>
      <c r="F702" s="30">
        <f>SUM(F703:F706)</f>
        <v>4638.2439999999997</v>
      </c>
      <c r="G702" s="29">
        <f t="shared" si="50"/>
        <v>0.15956639305348186</v>
      </c>
      <c r="H702" s="149" t="s">
        <v>483</v>
      </c>
      <c r="I702" s="111" t="s">
        <v>758</v>
      </c>
      <c r="J702" s="164" t="s">
        <v>105</v>
      </c>
      <c r="K702" s="109" t="s">
        <v>452</v>
      </c>
      <c r="L702" s="104" t="s">
        <v>812</v>
      </c>
      <c r="M702" s="292">
        <v>805</v>
      </c>
    </row>
    <row r="703" spans="1:13" s="3" customFormat="1" ht="18.95" customHeight="1">
      <c r="A703" s="110"/>
      <c r="B703" s="110"/>
      <c r="C703" s="27" t="s">
        <v>17</v>
      </c>
      <c r="D703" s="28">
        <v>29067.8</v>
      </c>
      <c r="E703" s="30">
        <v>5807.1977500000003</v>
      </c>
      <c r="F703" s="30">
        <v>4638.2439999999997</v>
      </c>
      <c r="G703" s="31">
        <f t="shared" si="50"/>
        <v>0.15956639305348186</v>
      </c>
      <c r="H703" s="150"/>
      <c r="I703" s="112"/>
      <c r="J703" s="164"/>
      <c r="K703" s="110"/>
      <c r="L703" s="105"/>
      <c r="M703" s="292"/>
    </row>
    <row r="704" spans="1:13" s="3" customFormat="1" ht="18.95" customHeight="1">
      <c r="A704" s="110"/>
      <c r="B704" s="110"/>
      <c r="C704" s="27" t="s">
        <v>19</v>
      </c>
      <c r="D704" s="28">
        <v>0</v>
      </c>
      <c r="E704" s="30">
        <v>0</v>
      </c>
      <c r="F704" s="30">
        <v>0</v>
      </c>
      <c r="G704" s="31">
        <f t="shared" si="50"/>
        <v>0</v>
      </c>
      <c r="H704" s="150"/>
      <c r="I704" s="112"/>
      <c r="J704" s="164"/>
      <c r="K704" s="110"/>
      <c r="L704" s="105"/>
      <c r="M704" s="292"/>
    </row>
    <row r="705" spans="1:13" s="3" customFormat="1" ht="18.95" customHeight="1">
      <c r="A705" s="110"/>
      <c r="B705" s="110"/>
      <c r="C705" s="27" t="s">
        <v>21</v>
      </c>
      <c r="D705" s="28">
        <v>0</v>
      </c>
      <c r="E705" s="30">
        <v>0</v>
      </c>
      <c r="F705" s="30">
        <v>0</v>
      </c>
      <c r="G705" s="31">
        <f t="shared" si="50"/>
        <v>0</v>
      </c>
      <c r="H705" s="150"/>
      <c r="I705" s="112"/>
      <c r="J705" s="164"/>
      <c r="K705" s="110"/>
      <c r="L705" s="105"/>
      <c r="M705" s="292"/>
    </row>
    <row r="706" spans="1:13" s="3" customFormat="1" ht="18.95" customHeight="1">
      <c r="A706" s="110"/>
      <c r="B706" s="110"/>
      <c r="C706" s="27" t="s">
        <v>31</v>
      </c>
      <c r="D706" s="28">
        <v>0</v>
      </c>
      <c r="E706" s="30">
        <v>0</v>
      </c>
      <c r="F706" s="30">
        <v>0</v>
      </c>
      <c r="G706" s="31">
        <f t="shared" si="50"/>
        <v>0</v>
      </c>
      <c r="H706" s="150"/>
      <c r="I706" s="113"/>
      <c r="J706" s="164"/>
      <c r="K706" s="110"/>
      <c r="L706" s="106"/>
      <c r="M706" s="292"/>
    </row>
    <row r="707" spans="1:13" s="3" customFormat="1" ht="18.95" customHeight="1">
      <c r="A707" s="109" t="s">
        <v>484</v>
      </c>
      <c r="B707" s="109" t="s">
        <v>485</v>
      </c>
      <c r="C707" s="27" t="s">
        <v>14</v>
      </c>
      <c r="D707" s="28">
        <f>D708</f>
        <v>4429.4000000000005</v>
      </c>
      <c r="E707" s="30">
        <f>SUM(E708:E711)</f>
        <v>2662</v>
      </c>
      <c r="F707" s="30">
        <f>SUM(F708:F711)</f>
        <v>2154.3000000000002</v>
      </c>
      <c r="G707" s="29">
        <f t="shared" si="50"/>
        <v>0.48636384160382895</v>
      </c>
      <c r="H707" s="149" t="s">
        <v>486</v>
      </c>
      <c r="I707" s="111" t="s">
        <v>759</v>
      </c>
      <c r="J707" s="111" t="s">
        <v>701</v>
      </c>
      <c r="K707" s="109" t="s">
        <v>487</v>
      </c>
      <c r="L707" s="104" t="s">
        <v>717</v>
      </c>
      <c r="M707" s="292">
        <v>805</v>
      </c>
    </row>
    <row r="708" spans="1:13" s="3" customFormat="1" ht="18.95" customHeight="1">
      <c r="A708" s="110"/>
      <c r="B708" s="110"/>
      <c r="C708" s="27" t="s">
        <v>17</v>
      </c>
      <c r="D708" s="28">
        <f>4084.8+344.6</f>
        <v>4429.4000000000005</v>
      </c>
      <c r="E708" s="30">
        <v>2662</v>
      </c>
      <c r="F708" s="30">
        <v>2154.3000000000002</v>
      </c>
      <c r="G708" s="31">
        <f t="shared" si="50"/>
        <v>0.48636384160382895</v>
      </c>
      <c r="H708" s="150"/>
      <c r="I708" s="112"/>
      <c r="J708" s="112"/>
      <c r="K708" s="110"/>
      <c r="L708" s="105"/>
      <c r="M708" s="292"/>
    </row>
    <row r="709" spans="1:13" s="3" customFormat="1" ht="18.95" customHeight="1">
      <c r="A709" s="110"/>
      <c r="B709" s="110"/>
      <c r="C709" s="27" t="s">
        <v>19</v>
      </c>
      <c r="D709" s="28">
        <v>0</v>
      </c>
      <c r="E709" s="30">
        <v>0</v>
      </c>
      <c r="F709" s="30">
        <v>0</v>
      </c>
      <c r="G709" s="31">
        <f t="shared" si="50"/>
        <v>0</v>
      </c>
      <c r="H709" s="150"/>
      <c r="I709" s="112"/>
      <c r="J709" s="112"/>
      <c r="K709" s="110"/>
      <c r="L709" s="105"/>
      <c r="M709" s="292"/>
    </row>
    <row r="710" spans="1:13" s="3" customFormat="1" ht="18.95" customHeight="1">
      <c r="A710" s="110"/>
      <c r="B710" s="110"/>
      <c r="C710" s="27" t="s">
        <v>21</v>
      </c>
      <c r="D710" s="28">
        <v>0</v>
      </c>
      <c r="E710" s="30">
        <v>0</v>
      </c>
      <c r="F710" s="30">
        <v>0</v>
      </c>
      <c r="G710" s="31">
        <f t="shared" si="50"/>
        <v>0</v>
      </c>
      <c r="H710" s="150"/>
      <c r="I710" s="112"/>
      <c r="J710" s="112"/>
      <c r="K710" s="110"/>
      <c r="L710" s="105"/>
      <c r="M710" s="292"/>
    </row>
    <row r="711" spans="1:13" s="3" customFormat="1" ht="18.95" customHeight="1">
      <c r="A711" s="110"/>
      <c r="B711" s="110"/>
      <c r="C711" s="27" t="s">
        <v>31</v>
      </c>
      <c r="D711" s="28">
        <v>0</v>
      </c>
      <c r="E711" s="30">
        <v>0</v>
      </c>
      <c r="F711" s="30">
        <v>0</v>
      </c>
      <c r="G711" s="31">
        <f t="shared" si="50"/>
        <v>0</v>
      </c>
      <c r="H711" s="150"/>
      <c r="I711" s="113"/>
      <c r="J711" s="113"/>
      <c r="K711" s="110"/>
      <c r="L711" s="106"/>
      <c r="M711" s="292"/>
    </row>
    <row r="712" spans="1:13" s="3" customFormat="1" ht="18.95" customHeight="1">
      <c r="A712" s="109" t="s">
        <v>488</v>
      </c>
      <c r="B712" s="109" t="s">
        <v>489</v>
      </c>
      <c r="C712" s="27" t="s">
        <v>14</v>
      </c>
      <c r="D712" s="28">
        <f>D713</f>
        <v>16410</v>
      </c>
      <c r="E712" s="30">
        <f>SUM(E713:E716)</f>
        <v>1679.3454999999999</v>
      </c>
      <c r="F712" s="30">
        <f>SUM(F713:F716)</f>
        <v>1679.3454999999999</v>
      </c>
      <c r="G712" s="29">
        <f t="shared" si="50"/>
        <v>0.10233671541742839</v>
      </c>
      <c r="H712" s="172" t="s">
        <v>490</v>
      </c>
      <c r="I712" s="111" t="s">
        <v>760</v>
      </c>
      <c r="J712" s="164" t="s">
        <v>105</v>
      </c>
      <c r="K712" s="109" t="s">
        <v>464</v>
      </c>
      <c r="L712" s="104" t="s">
        <v>755</v>
      </c>
      <c r="M712" s="292">
        <v>805</v>
      </c>
    </row>
    <row r="713" spans="1:13" s="3" customFormat="1" ht="18.95" customHeight="1">
      <c r="A713" s="110"/>
      <c r="B713" s="110"/>
      <c r="C713" s="27" t="s">
        <v>17</v>
      </c>
      <c r="D713" s="28">
        <f>18000-1590</f>
        <v>16410</v>
      </c>
      <c r="E713" s="30">
        <v>1679.3454999999999</v>
      </c>
      <c r="F713" s="30">
        <v>1679.3454999999999</v>
      </c>
      <c r="G713" s="31">
        <f t="shared" si="50"/>
        <v>0.10233671541742839</v>
      </c>
      <c r="H713" s="173"/>
      <c r="I713" s="112"/>
      <c r="J713" s="164"/>
      <c r="K713" s="110"/>
      <c r="L713" s="105"/>
      <c r="M713" s="292"/>
    </row>
    <row r="714" spans="1:13" s="3" customFormat="1" ht="18.95" customHeight="1">
      <c r="A714" s="110"/>
      <c r="B714" s="110"/>
      <c r="C714" s="27" t="s">
        <v>19</v>
      </c>
      <c r="D714" s="28">
        <v>0</v>
      </c>
      <c r="E714" s="30">
        <v>0</v>
      </c>
      <c r="F714" s="30">
        <v>0</v>
      </c>
      <c r="G714" s="31">
        <f t="shared" si="50"/>
        <v>0</v>
      </c>
      <c r="H714" s="173"/>
      <c r="I714" s="112"/>
      <c r="J714" s="164"/>
      <c r="K714" s="110"/>
      <c r="L714" s="105"/>
      <c r="M714" s="292"/>
    </row>
    <row r="715" spans="1:13" s="3" customFormat="1" ht="18.95" customHeight="1">
      <c r="A715" s="110"/>
      <c r="B715" s="110"/>
      <c r="C715" s="27" t="s">
        <v>21</v>
      </c>
      <c r="D715" s="28">
        <v>0</v>
      </c>
      <c r="E715" s="30">
        <v>0</v>
      </c>
      <c r="F715" s="30">
        <v>0</v>
      </c>
      <c r="G715" s="31">
        <f t="shared" si="50"/>
        <v>0</v>
      </c>
      <c r="H715" s="173"/>
      <c r="I715" s="112"/>
      <c r="J715" s="164"/>
      <c r="K715" s="110"/>
      <c r="L715" s="105"/>
      <c r="M715" s="292"/>
    </row>
    <row r="716" spans="1:13" s="3" customFormat="1" ht="18.75" customHeight="1">
      <c r="A716" s="110"/>
      <c r="B716" s="110"/>
      <c r="C716" s="27" t="s">
        <v>31</v>
      </c>
      <c r="D716" s="28">
        <v>0</v>
      </c>
      <c r="E716" s="30">
        <v>0</v>
      </c>
      <c r="F716" s="30">
        <v>0</v>
      </c>
      <c r="G716" s="31">
        <f t="shared" si="50"/>
        <v>0</v>
      </c>
      <c r="H716" s="173"/>
      <c r="I716" s="113"/>
      <c r="J716" s="164"/>
      <c r="K716" s="110"/>
      <c r="L716" s="106"/>
      <c r="M716" s="292"/>
    </row>
    <row r="717" spans="1:13" s="3" customFormat="1" ht="18.95" customHeight="1">
      <c r="A717" s="109" t="s">
        <v>491</v>
      </c>
      <c r="B717" s="109" t="s">
        <v>492</v>
      </c>
      <c r="C717" s="27" t="s">
        <v>14</v>
      </c>
      <c r="D717" s="28">
        <f>D718</f>
        <v>3600</v>
      </c>
      <c r="E717" s="30">
        <f>SUM(E718:E721)</f>
        <v>600</v>
      </c>
      <c r="F717" s="30">
        <f>SUM(F718:F721)</f>
        <v>600</v>
      </c>
      <c r="G717" s="29">
        <f t="shared" si="50"/>
        <v>0.16666666666666666</v>
      </c>
      <c r="H717" s="172" t="s">
        <v>493</v>
      </c>
      <c r="I717" s="111" t="s">
        <v>761</v>
      </c>
      <c r="J717" s="164" t="s">
        <v>105</v>
      </c>
      <c r="K717" s="109" t="s">
        <v>464</v>
      </c>
      <c r="L717" s="104" t="s">
        <v>755</v>
      </c>
      <c r="M717" s="292">
        <v>805</v>
      </c>
    </row>
    <row r="718" spans="1:13" s="3" customFormat="1" ht="18.95" customHeight="1">
      <c r="A718" s="110"/>
      <c r="B718" s="110"/>
      <c r="C718" s="27" t="s">
        <v>17</v>
      </c>
      <c r="D718" s="28">
        <v>3600</v>
      </c>
      <c r="E718" s="30">
        <v>600</v>
      </c>
      <c r="F718" s="30">
        <v>600</v>
      </c>
      <c r="G718" s="31">
        <f t="shared" si="50"/>
        <v>0.16666666666666666</v>
      </c>
      <c r="H718" s="173"/>
      <c r="I718" s="112"/>
      <c r="J718" s="164"/>
      <c r="K718" s="110"/>
      <c r="L718" s="105"/>
      <c r="M718" s="292"/>
    </row>
    <row r="719" spans="1:13" s="3" customFormat="1" ht="18.95" customHeight="1">
      <c r="A719" s="110"/>
      <c r="B719" s="110"/>
      <c r="C719" s="27" t="s">
        <v>19</v>
      </c>
      <c r="D719" s="28">
        <v>0</v>
      </c>
      <c r="E719" s="30">
        <v>0</v>
      </c>
      <c r="F719" s="30">
        <v>0</v>
      </c>
      <c r="G719" s="31">
        <f t="shared" si="50"/>
        <v>0</v>
      </c>
      <c r="H719" s="173"/>
      <c r="I719" s="112"/>
      <c r="J719" s="164"/>
      <c r="K719" s="110"/>
      <c r="L719" s="105"/>
      <c r="M719" s="292"/>
    </row>
    <row r="720" spans="1:13" s="3" customFormat="1" ht="18.95" customHeight="1">
      <c r="A720" s="110"/>
      <c r="B720" s="110"/>
      <c r="C720" s="27" t="s">
        <v>21</v>
      </c>
      <c r="D720" s="28">
        <v>0</v>
      </c>
      <c r="E720" s="30">
        <v>0</v>
      </c>
      <c r="F720" s="30">
        <v>0</v>
      </c>
      <c r="G720" s="31">
        <f t="shared" si="50"/>
        <v>0</v>
      </c>
      <c r="H720" s="173"/>
      <c r="I720" s="112"/>
      <c r="J720" s="164"/>
      <c r="K720" s="110"/>
      <c r="L720" s="105"/>
      <c r="M720" s="292"/>
    </row>
    <row r="721" spans="1:13" s="3" customFormat="1" ht="18.95" customHeight="1">
      <c r="A721" s="110"/>
      <c r="B721" s="110"/>
      <c r="C721" s="27" t="s">
        <v>31</v>
      </c>
      <c r="D721" s="28">
        <v>0</v>
      </c>
      <c r="E721" s="30">
        <v>0</v>
      </c>
      <c r="F721" s="30">
        <v>0</v>
      </c>
      <c r="G721" s="31">
        <f t="shared" si="50"/>
        <v>0</v>
      </c>
      <c r="H721" s="173"/>
      <c r="I721" s="113"/>
      <c r="J721" s="164"/>
      <c r="K721" s="110"/>
      <c r="L721" s="106"/>
      <c r="M721" s="292"/>
    </row>
    <row r="722" spans="1:13" s="3" customFormat="1" ht="18.95" hidden="1" customHeight="1">
      <c r="A722" s="109" t="s">
        <v>494</v>
      </c>
      <c r="B722" s="109" t="s">
        <v>495</v>
      </c>
      <c r="C722" s="27" t="s">
        <v>14</v>
      </c>
      <c r="D722" s="28">
        <f>D723</f>
        <v>0</v>
      </c>
      <c r="E722" s="30">
        <f>SUM(E723:E726)</f>
        <v>0</v>
      </c>
      <c r="F722" s="30">
        <f>SUM(F723:F726)</f>
        <v>0</v>
      </c>
      <c r="G722" s="29">
        <f t="shared" ref="G722:G736" si="52">IF(D722&lt;&gt;0,F722/D722,0)</f>
        <v>0</v>
      </c>
      <c r="H722" s="149" t="s">
        <v>496</v>
      </c>
      <c r="I722" s="111" t="s">
        <v>716</v>
      </c>
      <c r="J722" s="111"/>
      <c r="K722" s="109" t="s">
        <v>452</v>
      </c>
      <c r="L722" s="104"/>
      <c r="M722" s="1"/>
    </row>
    <row r="723" spans="1:13" s="3" customFormat="1" ht="18.95" hidden="1" customHeight="1">
      <c r="A723" s="110"/>
      <c r="B723" s="110"/>
      <c r="C723" s="27" t="s">
        <v>17</v>
      </c>
      <c r="D723" s="28">
        <v>0</v>
      </c>
      <c r="E723" s="30">
        <v>0</v>
      </c>
      <c r="F723" s="30">
        <v>0</v>
      </c>
      <c r="G723" s="31">
        <f t="shared" si="52"/>
        <v>0</v>
      </c>
      <c r="H723" s="150"/>
      <c r="I723" s="112"/>
      <c r="J723" s="112"/>
      <c r="K723" s="110"/>
      <c r="L723" s="105"/>
      <c r="M723" s="1"/>
    </row>
    <row r="724" spans="1:13" s="3" customFormat="1" ht="18.95" hidden="1" customHeight="1">
      <c r="A724" s="110"/>
      <c r="B724" s="110"/>
      <c r="C724" s="27" t="s">
        <v>19</v>
      </c>
      <c r="D724" s="28">
        <v>0</v>
      </c>
      <c r="E724" s="30">
        <v>0</v>
      </c>
      <c r="F724" s="30">
        <v>0</v>
      </c>
      <c r="G724" s="31">
        <f t="shared" si="52"/>
        <v>0</v>
      </c>
      <c r="H724" s="150"/>
      <c r="I724" s="112"/>
      <c r="J724" s="112"/>
      <c r="K724" s="110"/>
      <c r="L724" s="105"/>
      <c r="M724" s="1"/>
    </row>
    <row r="725" spans="1:13" s="3" customFormat="1" ht="18.95" hidden="1" customHeight="1">
      <c r="A725" s="110"/>
      <c r="B725" s="110"/>
      <c r="C725" s="27" t="s">
        <v>21</v>
      </c>
      <c r="D725" s="28">
        <v>0</v>
      </c>
      <c r="E725" s="30">
        <v>0</v>
      </c>
      <c r="F725" s="30">
        <v>0</v>
      </c>
      <c r="G725" s="31">
        <f t="shared" si="52"/>
        <v>0</v>
      </c>
      <c r="H725" s="150"/>
      <c r="I725" s="112"/>
      <c r="J725" s="112"/>
      <c r="K725" s="110"/>
      <c r="L725" s="105"/>
      <c r="M725" s="1"/>
    </row>
    <row r="726" spans="1:13" s="3" customFormat="1" ht="18.95" hidden="1" customHeight="1">
      <c r="A726" s="110"/>
      <c r="B726" s="110"/>
      <c r="C726" s="27" t="s">
        <v>31</v>
      </c>
      <c r="D726" s="28">
        <v>0</v>
      </c>
      <c r="E726" s="30">
        <v>0</v>
      </c>
      <c r="F726" s="30">
        <v>0</v>
      </c>
      <c r="G726" s="31">
        <f t="shared" si="52"/>
        <v>0</v>
      </c>
      <c r="H726" s="150"/>
      <c r="I726" s="113"/>
      <c r="J726" s="113"/>
      <c r="K726" s="110"/>
      <c r="L726" s="106"/>
      <c r="M726" s="1"/>
    </row>
    <row r="727" spans="1:13" s="3" customFormat="1" ht="18.95" customHeight="1">
      <c r="A727" s="123" t="s">
        <v>497</v>
      </c>
      <c r="B727" s="123" t="s">
        <v>498</v>
      </c>
      <c r="C727" s="40" t="s">
        <v>14</v>
      </c>
      <c r="D727" s="41">
        <f>SUM(D728:D731)</f>
        <v>2869.9</v>
      </c>
      <c r="E727" s="42">
        <f>SUM(E728:E731)</f>
        <v>1499.78881</v>
      </c>
      <c r="F727" s="42">
        <f>SUM(F728:F731)</f>
        <v>1499.78881</v>
      </c>
      <c r="G727" s="43">
        <f t="shared" si="52"/>
        <v>0.5225927070629639</v>
      </c>
      <c r="H727" s="123" t="s">
        <v>499</v>
      </c>
      <c r="I727" s="65" t="s">
        <v>15</v>
      </c>
      <c r="J727" s="65">
        <v>1</v>
      </c>
      <c r="K727" s="121" t="s">
        <v>452</v>
      </c>
      <c r="L727" s="125"/>
      <c r="M727" s="292">
        <v>805</v>
      </c>
    </row>
    <row r="728" spans="1:13" s="3" customFormat="1" ht="18.95" customHeight="1">
      <c r="A728" s="124"/>
      <c r="B728" s="124"/>
      <c r="C728" s="40" t="s">
        <v>17</v>
      </c>
      <c r="D728" s="41">
        <f t="shared" ref="D728:F729" si="53">SUM(D733)</f>
        <v>2869.9</v>
      </c>
      <c r="E728" s="47">
        <f t="shared" si="53"/>
        <v>1499.78881</v>
      </c>
      <c r="F728" s="47">
        <f t="shared" si="53"/>
        <v>1499.78881</v>
      </c>
      <c r="G728" s="45">
        <f t="shared" si="52"/>
        <v>0.5225927070629639</v>
      </c>
      <c r="H728" s="124"/>
      <c r="I728" s="65" t="s">
        <v>18</v>
      </c>
      <c r="J728" s="65">
        <v>0</v>
      </c>
      <c r="K728" s="122"/>
      <c r="L728" s="126"/>
      <c r="M728" s="292"/>
    </row>
    <row r="729" spans="1:13" s="3" customFormat="1" ht="18.95" customHeight="1">
      <c r="A729" s="124"/>
      <c r="B729" s="124"/>
      <c r="C729" s="40" t="s">
        <v>19</v>
      </c>
      <c r="D729" s="41">
        <f t="shared" si="53"/>
        <v>0</v>
      </c>
      <c r="E729" s="47">
        <f t="shared" si="53"/>
        <v>0</v>
      </c>
      <c r="F729" s="47">
        <f t="shared" si="53"/>
        <v>0</v>
      </c>
      <c r="G729" s="45">
        <f t="shared" si="52"/>
        <v>0</v>
      </c>
      <c r="H729" s="124"/>
      <c r="I729" s="65" t="s">
        <v>20</v>
      </c>
      <c r="J729" s="65">
        <v>1</v>
      </c>
      <c r="K729" s="122"/>
      <c r="L729" s="126"/>
      <c r="M729" s="292"/>
    </row>
    <row r="730" spans="1:13" s="3" customFormat="1" ht="18.95" customHeight="1">
      <c r="A730" s="124"/>
      <c r="B730" s="124"/>
      <c r="C730" s="40" t="s">
        <v>21</v>
      </c>
      <c r="D730" s="41">
        <v>0</v>
      </c>
      <c r="E730" s="47">
        <f>SUM(E735)</f>
        <v>0</v>
      </c>
      <c r="F730" s="47">
        <f>SUM(F735)</f>
        <v>0</v>
      </c>
      <c r="G730" s="45">
        <f t="shared" si="52"/>
        <v>0</v>
      </c>
      <c r="H730" s="124"/>
      <c r="I730" s="65" t="s">
        <v>22</v>
      </c>
      <c r="J730" s="65">
        <v>0</v>
      </c>
      <c r="K730" s="122"/>
      <c r="L730" s="126"/>
      <c r="M730" s="292"/>
    </row>
    <row r="731" spans="1:13" s="3" customFormat="1" ht="18.95" customHeight="1">
      <c r="A731" s="124"/>
      <c r="B731" s="124"/>
      <c r="C731" s="40" t="s">
        <v>31</v>
      </c>
      <c r="D731" s="41">
        <f>SUM(D736)</f>
        <v>0</v>
      </c>
      <c r="E731" s="47">
        <f>SUM(E736)</f>
        <v>0</v>
      </c>
      <c r="F731" s="47">
        <f>SUM(F736)</f>
        <v>0</v>
      </c>
      <c r="G731" s="45">
        <f t="shared" si="52"/>
        <v>0</v>
      </c>
      <c r="H731" s="124"/>
      <c r="I731" s="65" t="s">
        <v>24</v>
      </c>
      <c r="J731" s="66">
        <f>IF(J727=0,0,(J728+J729*0.5)/J727)</f>
        <v>0.5</v>
      </c>
      <c r="K731" s="122"/>
      <c r="L731" s="127"/>
      <c r="M731" s="292"/>
    </row>
    <row r="732" spans="1:13" s="3" customFormat="1" ht="18.95" customHeight="1">
      <c r="A732" s="107" t="s">
        <v>500</v>
      </c>
      <c r="B732" s="107" t="s">
        <v>37</v>
      </c>
      <c r="C732" s="27" t="s">
        <v>14</v>
      </c>
      <c r="D732" s="28">
        <f>SUM(D733:D736)</f>
        <v>2869.9</v>
      </c>
      <c r="E732" s="30">
        <f>SUM(E733:E736)</f>
        <v>1499.78881</v>
      </c>
      <c r="F732" s="30">
        <f>SUM(F733:F736)</f>
        <v>1499.78881</v>
      </c>
      <c r="G732" s="29">
        <f t="shared" si="52"/>
        <v>0.5225927070629639</v>
      </c>
      <c r="H732" s="172" t="s">
        <v>501</v>
      </c>
      <c r="I732" s="176" t="s">
        <v>762</v>
      </c>
      <c r="J732" s="111" t="s">
        <v>701</v>
      </c>
      <c r="K732" s="109" t="s">
        <v>502</v>
      </c>
      <c r="L732" s="104" t="s">
        <v>717</v>
      </c>
      <c r="M732" s="292">
        <v>805</v>
      </c>
    </row>
    <row r="733" spans="1:13" s="3" customFormat="1" ht="18.95" customHeight="1">
      <c r="A733" s="108"/>
      <c r="B733" s="108"/>
      <c r="C733" s="27" t="s">
        <v>17</v>
      </c>
      <c r="D733" s="28">
        <v>2869.9</v>
      </c>
      <c r="E733" s="30">
        <v>1499.78881</v>
      </c>
      <c r="F733" s="30">
        <v>1499.78881</v>
      </c>
      <c r="G733" s="31">
        <f t="shared" si="52"/>
        <v>0.5225927070629639</v>
      </c>
      <c r="H733" s="173"/>
      <c r="I733" s="177"/>
      <c r="J733" s="112"/>
      <c r="K733" s="110"/>
      <c r="L733" s="105"/>
      <c r="M733" s="292"/>
    </row>
    <row r="734" spans="1:13" s="3" customFormat="1" ht="18.95" customHeight="1">
      <c r="A734" s="108"/>
      <c r="B734" s="108"/>
      <c r="C734" s="27" t="s">
        <v>19</v>
      </c>
      <c r="D734" s="28">
        <v>0</v>
      </c>
      <c r="E734" s="30">
        <v>0</v>
      </c>
      <c r="F734" s="30">
        <v>0</v>
      </c>
      <c r="G734" s="31">
        <f t="shared" si="52"/>
        <v>0</v>
      </c>
      <c r="H734" s="173"/>
      <c r="I734" s="177"/>
      <c r="J734" s="112"/>
      <c r="K734" s="110"/>
      <c r="L734" s="105"/>
      <c r="M734" s="292"/>
    </row>
    <row r="735" spans="1:13" s="3" customFormat="1" ht="18.95" customHeight="1">
      <c r="A735" s="108"/>
      <c r="B735" s="108"/>
      <c r="C735" s="27" t="s">
        <v>21</v>
      </c>
      <c r="D735" s="28">
        <v>0</v>
      </c>
      <c r="E735" s="30">
        <v>0</v>
      </c>
      <c r="F735" s="30">
        <v>0</v>
      </c>
      <c r="G735" s="31">
        <f t="shared" si="52"/>
        <v>0</v>
      </c>
      <c r="H735" s="173"/>
      <c r="I735" s="177"/>
      <c r="J735" s="112"/>
      <c r="K735" s="110"/>
      <c r="L735" s="105"/>
      <c r="M735" s="292"/>
    </row>
    <row r="736" spans="1:13" s="3" customFormat="1" ht="41.25" customHeight="1">
      <c r="A736" s="108"/>
      <c r="B736" s="108"/>
      <c r="C736" s="27" t="s">
        <v>31</v>
      </c>
      <c r="D736" s="28">
        <v>0</v>
      </c>
      <c r="E736" s="30">
        <v>0</v>
      </c>
      <c r="F736" s="30">
        <v>0</v>
      </c>
      <c r="G736" s="31">
        <f t="shared" si="52"/>
        <v>0</v>
      </c>
      <c r="H736" s="173"/>
      <c r="I736" s="178"/>
      <c r="J736" s="113"/>
      <c r="K736" s="110"/>
      <c r="L736" s="106"/>
      <c r="M736" s="292"/>
    </row>
    <row r="737" spans="1:13" s="3" customFormat="1" ht="18.95" customHeight="1">
      <c r="A737" s="139" t="s">
        <v>503</v>
      </c>
      <c r="B737" s="139" t="s">
        <v>504</v>
      </c>
      <c r="C737" s="48" t="s">
        <v>14</v>
      </c>
      <c r="D737" s="49">
        <f>SUM(D738:D741)</f>
        <v>160977.60000000001</v>
      </c>
      <c r="E737" s="50">
        <f>SUM(E738:E741)</f>
        <v>49430.749349999998</v>
      </c>
      <c r="F737" s="50">
        <f>SUM(F738:F741)</f>
        <v>43239.85</v>
      </c>
      <c r="G737" s="51">
        <f t="shared" si="50"/>
        <v>0.26860786842392975</v>
      </c>
      <c r="H737" s="174" t="s">
        <v>505</v>
      </c>
      <c r="I737" s="67" t="s">
        <v>15</v>
      </c>
      <c r="J737" s="67">
        <v>6</v>
      </c>
      <c r="K737" s="134" t="s">
        <v>506</v>
      </c>
      <c r="L737" s="136"/>
      <c r="M737" s="292">
        <v>805</v>
      </c>
    </row>
    <row r="738" spans="1:13" s="3" customFormat="1" ht="18.95" customHeight="1">
      <c r="A738" s="140"/>
      <c r="B738" s="140"/>
      <c r="C738" s="48" t="s">
        <v>17</v>
      </c>
      <c r="D738" s="49">
        <f>D743+D748+D753+D758+D763+D768+D773+D778</f>
        <v>160977.60000000001</v>
      </c>
      <c r="E738" s="50">
        <f>E743+E748+E753+E758+E763+E768+E773+E778</f>
        <v>49430.749349999998</v>
      </c>
      <c r="F738" s="50">
        <f>F743+F748+F753+F758+F763+F768+F773+F778</f>
        <v>43239.85</v>
      </c>
      <c r="G738" s="52">
        <f t="shared" si="50"/>
        <v>0.26860786842392975</v>
      </c>
      <c r="H738" s="175"/>
      <c r="I738" s="67" t="s">
        <v>18</v>
      </c>
      <c r="J738" s="67">
        <f>COUNTIF($J$742:$J$776,"да")</f>
        <v>0</v>
      </c>
      <c r="K738" s="135"/>
      <c r="L738" s="137"/>
      <c r="M738" s="292"/>
    </row>
    <row r="739" spans="1:13" s="3" customFormat="1" ht="18.95" customHeight="1">
      <c r="A739" s="140"/>
      <c r="B739" s="140"/>
      <c r="C739" s="48" t="s">
        <v>19</v>
      </c>
      <c r="D739" s="49">
        <f>D744+D749+D754+D759+D764+D769+D774+D779</f>
        <v>0</v>
      </c>
      <c r="E739" s="50">
        <f t="shared" ref="E739:F741" si="54">E744+E749+E754+E759+E764+E769+E774+E779</f>
        <v>0</v>
      </c>
      <c r="F739" s="50">
        <f t="shared" si="54"/>
        <v>0</v>
      </c>
      <c r="G739" s="52">
        <f t="shared" si="50"/>
        <v>0</v>
      </c>
      <c r="H739" s="175"/>
      <c r="I739" s="67" t="s">
        <v>20</v>
      </c>
      <c r="J739" s="67">
        <f>COUNTIF($J$742:$J$776,"частично")</f>
        <v>4</v>
      </c>
      <c r="K739" s="135"/>
      <c r="L739" s="137"/>
      <c r="M739" s="292"/>
    </row>
    <row r="740" spans="1:13" s="3" customFormat="1" ht="18.95" customHeight="1">
      <c r="A740" s="140"/>
      <c r="B740" s="140"/>
      <c r="C740" s="48" t="s">
        <v>21</v>
      </c>
      <c r="D740" s="49">
        <v>0</v>
      </c>
      <c r="E740" s="50">
        <f t="shared" si="54"/>
        <v>0</v>
      </c>
      <c r="F740" s="50">
        <f t="shared" si="54"/>
        <v>0</v>
      </c>
      <c r="G740" s="52">
        <f t="shared" ref="G740:G751" si="55">IF(D740&lt;&gt;0,F740/D740,0)</f>
        <v>0</v>
      </c>
      <c r="H740" s="175"/>
      <c r="I740" s="67" t="s">
        <v>22</v>
      </c>
      <c r="J740" s="67">
        <f>COUNTIF($J$742:$J$776,"нет")</f>
        <v>2</v>
      </c>
      <c r="K740" s="135"/>
      <c r="L740" s="137"/>
      <c r="M740" s="292"/>
    </row>
    <row r="741" spans="1:13" s="3" customFormat="1" ht="18.95" customHeight="1">
      <c r="A741" s="140"/>
      <c r="B741" s="140"/>
      <c r="C741" s="48" t="s">
        <v>31</v>
      </c>
      <c r="D741" s="49">
        <f>D746+D751+D756+D761+D766+D771+D776+D781</f>
        <v>0</v>
      </c>
      <c r="E741" s="50">
        <f t="shared" si="54"/>
        <v>0</v>
      </c>
      <c r="F741" s="50">
        <f t="shared" si="54"/>
        <v>0</v>
      </c>
      <c r="G741" s="52">
        <f t="shared" si="55"/>
        <v>0</v>
      </c>
      <c r="H741" s="175"/>
      <c r="I741" s="67" t="s">
        <v>24</v>
      </c>
      <c r="J741" s="68">
        <f>IF(J737=0,0,(J738+J739*0.5)/J737)</f>
        <v>0.33333333333333331</v>
      </c>
      <c r="K741" s="135"/>
      <c r="L741" s="138"/>
      <c r="M741" s="292"/>
    </row>
    <row r="742" spans="1:13" s="3" customFormat="1" ht="18.95" customHeight="1">
      <c r="A742" s="139" t="s">
        <v>507</v>
      </c>
      <c r="B742" s="139" t="s">
        <v>508</v>
      </c>
      <c r="C742" s="48" t="s">
        <v>14</v>
      </c>
      <c r="D742" s="49">
        <f>SUM(D743:D746)</f>
        <v>6296</v>
      </c>
      <c r="E742" s="50">
        <f>SUM(E743:E746)</f>
        <v>2610</v>
      </c>
      <c r="F742" s="50">
        <f>SUM(F743:F746)</f>
        <v>2610</v>
      </c>
      <c r="G742" s="51">
        <f t="shared" si="55"/>
        <v>0.41454891994917409</v>
      </c>
      <c r="H742" s="179" t="s">
        <v>451</v>
      </c>
      <c r="I742" s="143" t="s">
        <v>763</v>
      </c>
      <c r="J742" s="143" t="s">
        <v>701</v>
      </c>
      <c r="K742" s="134" t="s">
        <v>452</v>
      </c>
      <c r="L742" s="136" t="s">
        <v>813</v>
      </c>
      <c r="M742" s="292">
        <v>805</v>
      </c>
    </row>
    <row r="743" spans="1:13" s="3" customFormat="1" ht="18.95" customHeight="1">
      <c r="A743" s="140"/>
      <c r="B743" s="140"/>
      <c r="C743" s="48" t="s">
        <v>17</v>
      </c>
      <c r="D743" s="49">
        <v>6296</v>
      </c>
      <c r="E743" s="50">
        <v>2610</v>
      </c>
      <c r="F743" s="50">
        <v>2610</v>
      </c>
      <c r="G743" s="52">
        <f t="shared" si="55"/>
        <v>0.41454891994917409</v>
      </c>
      <c r="H743" s="180"/>
      <c r="I743" s="144"/>
      <c r="J743" s="144"/>
      <c r="K743" s="135"/>
      <c r="L743" s="137"/>
      <c r="M743" s="292"/>
    </row>
    <row r="744" spans="1:13" s="3" customFormat="1" ht="18.95" customHeight="1">
      <c r="A744" s="140"/>
      <c r="B744" s="140"/>
      <c r="C744" s="48" t="s">
        <v>19</v>
      </c>
      <c r="D744" s="49">
        <v>0</v>
      </c>
      <c r="E744" s="50">
        <v>0</v>
      </c>
      <c r="F744" s="50">
        <v>0</v>
      </c>
      <c r="G744" s="52">
        <f t="shared" si="55"/>
        <v>0</v>
      </c>
      <c r="H744" s="180"/>
      <c r="I744" s="144"/>
      <c r="J744" s="144"/>
      <c r="K744" s="135"/>
      <c r="L744" s="137"/>
      <c r="M744" s="292"/>
    </row>
    <row r="745" spans="1:13" s="3" customFormat="1" ht="18.95" customHeight="1">
      <c r="A745" s="140"/>
      <c r="B745" s="140"/>
      <c r="C745" s="48" t="s">
        <v>21</v>
      </c>
      <c r="D745" s="49">
        <v>0</v>
      </c>
      <c r="E745" s="50">
        <v>0</v>
      </c>
      <c r="F745" s="50">
        <v>0</v>
      </c>
      <c r="G745" s="52">
        <f t="shared" si="55"/>
        <v>0</v>
      </c>
      <c r="H745" s="180"/>
      <c r="I745" s="144"/>
      <c r="J745" s="144"/>
      <c r="K745" s="135"/>
      <c r="L745" s="137"/>
      <c r="M745" s="292"/>
    </row>
    <row r="746" spans="1:13" s="3" customFormat="1" ht="18.95" customHeight="1">
      <c r="A746" s="140"/>
      <c r="B746" s="140"/>
      <c r="C746" s="48" t="s">
        <v>31</v>
      </c>
      <c r="D746" s="49">
        <v>0</v>
      </c>
      <c r="E746" s="50">
        <v>0</v>
      </c>
      <c r="F746" s="50">
        <v>0</v>
      </c>
      <c r="G746" s="52">
        <f t="shared" si="55"/>
        <v>0</v>
      </c>
      <c r="H746" s="180"/>
      <c r="I746" s="145"/>
      <c r="J746" s="145"/>
      <c r="K746" s="135"/>
      <c r="L746" s="138"/>
      <c r="M746" s="292"/>
    </row>
    <row r="747" spans="1:13" ht="18.95" customHeight="1">
      <c r="A747" s="139" t="s">
        <v>509</v>
      </c>
      <c r="B747" s="139" t="s">
        <v>37</v>
      </c>
      <c r="C747" s="48" t="s">
        <v>14</v>
      </c>
      <c r="D747" s="49">
        <f>SUM(D748:D751)</f>
        <v>36060.300000000003</v>
      </c>
      <c r="E747" s="50">
        <f>SUM(E748:E751)</f>
        <v>23439.200850000001</v>
      </c>
      <c r="F747" s="50">
        <f>SUM(F748:F751)</f>
        <v>17338.349999999999</v>
      </c>
      <c r="G747" s="51">
        <f t="shared" si="55"/>
        <v>0.48081546742539572</v>
      </c>
      <c r="H747" s="174" t="s">
        <v>510</v>
      </c>
      <c r="I747" s="182" t="s">
        <v>771</v>
      </c>
      <c r="J747" s="143" t="s">
        <v>701</v>
      </c>
      <c r="K747" s="134" t="s">
        <v>511</v>
      </c>
      <c r="L747" s="181" t="s">
        <v>717</v>
      </c>
      <c r="M747" s="292">
        <v>805</v>
      </c>
    </row>
    <row r="748" spans="1:13" ht="18.95" customHeight="1">
      <c r="A748" s="140"/>
      <c r="B748" s="140"/>
      <c r="C748" s="48" t="s">
        <v>17</v>
      </c>
      <c r="D748" s="49">
        <f>36060.3</f>
        <v>36060.300000000003</v>
      </c>
      <c r="E748" s="50">
        <v>23439.200850000001</v>
      </c>
      <c r="F748" s="50">
        <v>17338.349999999999</v>
      </c>
      <c r="G748" s="52">
        <f t="shared" si="55"/>
        <v>0.48081546742539572</v>
      </c>
      <c r="H748" s="175"/>
      <c r="I748" s="182"/>
      <c r="J748" s="144"/>
      <c r="K748" s="135"/>
      <c r="L748" s="181"/>
      <c r="M748" s="292"/>
    </row>
    <row r="749" spans="1:13" ht="18.95" customHeight="1">
      <c r="A749" s="140"/>
      <c r="B749" s="140"/>
      <c r="C749" s="48" t="s">
        <v>19</v>
      </c>
      <c r="D749" s="49">
        <v>0</v>
      </c>
      <c r="E749" s="50">
        <v>0</v>
      </c>
      <c r="F749" s="50">
        <v>0</v>
      </c>
      <c r="G749" s="52">
        <f t="shared" si="55"/>
        <v>0</v>
      </c>
      <c r="H749" s="175"/>
      <c r="I749" s="182"/>
      <c r="J749" s="144"/>
      <c r="K749" s="135"/>
      <c r="L749" s="181"/>
      <c r="M749" s="292"/>
    </row>
    <row r="750" spans="1:13" ht="18.95" customHeight="1">
      <c r="A750" s="140"/>
      <c r="B750" s="140"/>
      <c r="C750" s="48" t="s">
        <v>21</v>
      </c>
      <c r="D750" s="49">
        <v>0</v>
      </c>
      <c r="E750" s="50">
        <v>0</v>
      </c>
      <c r="F750" s="50">
        <v>0</v>
      </c>
      <c r="G750" s="52">
        <f t="shared" si="55"/>
        <v>0</v>
      </c>
      <c r="H750" s="175"/>
      <c r="I750" s="182"/>
      <c r="J750" s="144"/>
      <c r="K750" s="135"/>
      <c r="L750" s="181"/>
      <c r="M750" s="292"/>
    </row>
    <row r="751" spans="1:13" ht="18.95" customHeight="1">
      <c r="A751" s="140"/>
      <c r="B751" s="140"/>
      <c r="C751" s="48" t="s">
        <v>31</v>
      </c>
      <c r="D751" s="49">
        <v>0</v>
      </c>
      <c r="E751" s="50">
        <v>0</v>
      </c>
      <c r="F751" s="50">
        <v>0</v>
      </c>
      <c r="G751" s="52">
        <f t="shared" si="55"/>
        <v>0</v>
      </c>
      <c r="H751" s="175"/>
      <c r="I751" s="182"/>
      <c r="J751" s="145"/>
      <c r="K751" s="135"/>
      <c r="L751" s="181"/>
      <c r="M751" s="292"/>
    </row>
    <row r="752" spans="1:13" ht="18.95" customHeight="1">
      <c r="A752" s="139" t="s">
        <v>512</v>
      </c>
      <c r="B752" s="139" t="s">
        <v>459</v>
      </c>
      <c r="C752" s="48" t="s">
        <v>14</v>
      </c>
      <c r="D752" s="49">
        <f>SUM(D753:D756)</f>
        <v>4800</v>
      </c>
      <c r="E752" s="50">
        <f>SUM(E753:E756)</f>
        <v>1920</v>
      </c>
      <c r="F752" s="50">
        <f>SUM(F753:F756)</f>
        <v>1920</v>
      </c>
      <c r="G752" s="51">
        <f t="shared" ref="G752:G761" si="56">IF(D752&lt;&gt;0,F752/D752,0)</f>
        <v>0.4</v>
      </c>
      <c r="H752" s="179" t="s">
        <v>460</v>
      </c>
      <c r="I752" s="143" t="s">
        <v>764</v>
      </c>
      <c r="J752" s="143" t="s">
        <v>701</v>
      </c>
      <c r="K752" s="134" t="s">
        <v>452</v>
      </c>
      <c r="L752" s="181" t="s">
        <v>765</v>
      </c>
      <c r="M752" s="292">
        <v>805</v>
      </c>
    </row>
    <row r="753" spans="1:13" ht="18.95" customHeight="1">
      <c r="A753" s="140"/>
      <c r="B753" s="140"/>
      <c r="C753" s="48" t="s">
        <v>17</v>
      </c>
      <c r="D753" s="49">
        <v>4800</v>
      </c>
      <c r="E753" s="50">
        <v>1920</v>
      </c>
      <c r="F753" s="50">
        <v>1920</v>
      </c>
      <c r="G753" s="52">
        <f t="shared" si="56"/>
        <v>0.4</v>
      </c>
      <c r="H753" s="180"/>
      <c r="I753" s="144"/>
      <c r="J753" s="144"/>
      <c r="K753" s="135"/>
      <c r="L753" s="181"/>
      <c r="M753" s="292"/>
    </row>
    <row r="754" spans="1:13" ht="18.95" customHeight="1">
      <c r="A754" s="140"/>
      <c r="B754" s="140"/>
      <c r="C754" s="48" t="s">
        <v>19</v>
      </c>
      <c r="D754" s="49">
        <v>0</v>
      </c>
      <c r="E754" s="50">
        <v>0</v>
      </c>
      <c r="F754" s="50">
        <v>0</v>
      </c>
      <c r="G754" s="52">
        <f t="shared" si="56"/>
        <v>0</v>
      </c>
      <c r="H754" s="180"/>
      <c r="I754" s="144"/>
      <c r="J754" s="144"/>
      <c r="K754" s="135"/>
      <c r="L754" s="181"/>
      <c r="M754" s="292"/>
    </row>
    <row r="755" spans="1:13" ht="18.95" customHeight="1">
      <c r="A755" s="140"/>
      <c r="B755" s="140"/>
      <c r="C755" s="48" t="s">
        <v>21</v>
      </c>
      <c r="D755" s="49">
        <v>0</v>
      </c>
      <c r="E755" s="50">
        <v>0</v>
      </c>
      <c r="F755" s="50">
        <v>0</v>
      </c>
      <c r="G755" s="52">
        <f t="shared" si="56"/>
        <v>0</v>
      </c>
      <c r="H755" s="180"/>
      <c r="I755" s="144"/>
      <c r="J755" s="144"/>
      <c r="K755" s="135"/>
      <c r="L755" s="181"/>
      <c r="M755" s="292"/>
    </row>
    <row r="756" spans="1:13" ht="18.95" customHeight="1">
      <c r="A756" s="140"/>
      <c r="B756" s="140"/>
      <c r="C756" s="48" t="s">
        <v>31</v>
      </c>
      <c r="D756" s="49">
        <v>0</v>
      </c>
      <c r="E756" s="50">
        <v>0</v>
      </c>
      <c r="F756" s="50">
        <v>0</v>
      </c>
      <c r="G756" s="52">
        <f t="shared" si="56"/>
        <v>0</v>
      </c>
      <c r="H756" s="180"/>
      <c r="I756" s="145"/>
      <c r="J756" s="145"/>
      <c r="K756" s="135"/>
      <c r="L756" s="181"/>
      <c r="M756" s="292"/>
    </row>
    <row r="757" spans="1:13" ht="18.95" customHeight="1">
      <c r="A757" s="139" t="s">
        <v>513</v>
      </c>
      <c r="B757" s="139" t="s">
        <v>514</v>
      </c>
      <c r="C757" s="48" t="s">
        <v>14</v>
      </c>
      <c r="D757" s="49">
        <f>SUM(D758:D761)</f>
        <v>68955</v>
      </c>
      <c r="E757" s="50">
        <f>SUM(E758:E761)</f>
        <v>9750</v>
      </c>
      <c r="F757" s="50">
        <f>SUM(F758:F761)</f>
        <v>9660</v>
      </c>
      <c r="G757" s="51">
        <f t="shared" si="56"/>
        <v>0.14009136393299979</v>
      </c>
      <c r="H757" s="174" t="s">
        <v>463</v>
      </c>
      <c r="I757" s="143" t="s">
        <v>766</v>
      </c>
      <c r="J757" s="182" t="s">
        <v>105</v>
      </c>
      <c r="K757" s="134" t="s">
        <v>452</v>
      </c>
      <c r="L757" s="181" t="s">
        <v>772</v>
      </c>
      <c r="M757" s="292">
        <v>805</v>
      </c>
    </row>
    <row r="758" spans="1:13" ht="18.95" customHeight="1">
      <c r="A758" s="140"/>
      <c r="B758" s="140"/>
      <c r="C758" s="48" t="s">
        <v>17</v>
      </c>
      <c r="D758" s="49">
        <f>66705+660+1590</f>
        <v>68955</v>
      </c>
      <c r="E758" s="50">
        <v>9750</v>
      </c>
      <c r="F758" s="50">
        <v>9660</v>
      </c>
      <c r="G758" s="52">
        <f t="shared" si="56"/>
        <v>0.14009136393299979</v>
      </c>
      <c r="H758" s="175"/>
      <c r="I758" s="144"/>
      <c r="J758" s="182"/>
      <c r="K758" s="135"/>
      <c r="L758" s="181"/>
      <c r="M758" s="292"/>
    </row>
    <row r="759" spans="1:13" ht="18.95" customHeight="1">
      <c r="A759" s="140"/>
      <c r="B759" s="140"/>
      <c r="C759" s="48" t="s">
        <v>19</v>
      </c>
      <c r="D759" s="49">
        <v>0</v>
      </c>
      <c r="E759" s="50">
        <v>0</v>
      </c>
      <c r="F759" s="50">
        <v>0</v>
      </c>
      <c r="G759" s="52">
        <f t="shared" si="56"/>
        <v>0</v>
      </c>
      <c r="H759" s="175"/>
      <c r="I759" s="144"/>
      <c r="J759" s="182"/>
      <c r="K759" s="135"/>
      <c r="L759" s="181"/>
      <c r="M759" s="292"/>
    </row>
    <row r="760" spans="1:13" ht="18.95" customHeight="1">
      <c r="A760" s="140"/>
      <c r="B760" s="140"/>
      <c r="C760" s="48" t="s">
        <v>21</v>
      </c>
      <c r="D760" s="49">
        <v>0</v>
      </c>
      <c r="E760" s="50">
        <v>0</v>
      </c>
      <c r="F760" s="50">
        <v>0</v>
      </c>
      <c r="G760" s="52">
        <f t="shared" si="56"/>
        <v>0</v>
      </c>
      <c r="H760" s="175"/>
      <c r="I760" s="144"/>
      <c r="J760" s="182"/>
      <c r="K760" s="135"/>
      <c r="L760" s="181"/>
      <c r="M760" s="292"/>
    </row>
    <row r="761" spans="1:13" ht="18.95" customHeight="1">
      <c r="A761" s="140"/>
      <c r="B761" s="140"/>
      <c r="C761" s="48" t="s">
        <v>31</v>
      </c>
      <c r="D761" s="49">
        <v>0</v>
      </c>
      <c r="E761" s="50">
        <v>0</v>
      </c>
      <c r="F761" s="50">
        <v>0</v>
      </c>
      <c r="G761" s="52">
        <f t="shared" si="56"/>
        <v>0</v>
      </c>
      <c r="H761" s="175"/>
      <c r="I761" s="145"/>
      <c r="J761" s="182"/>
      <c r="K761" s="135"/>
      <c r="L761" s="181"/>
      <c r="M761" s="292"/>
    </row>
    <row r="762" spans="1:13" ht="18.95" customHeight="1">
      <c r="A762" s="139" t="s">
        <v>515</v>
      </c>
      <c r="B762" s="139" t="s">
        <v>469</v>
      </c>
      <c r="C762" s="48" t="s">
        <v>14</v>
      </c>
      <c r="D762" s="49">
        <f>SUM(D763:D766)</f>
        <v>316.3</v>
      </c>
      <c r="E762" s="50">
        <f>SUM(E763:E766)</f>
        <v>120</v>
      </c>
      <c r="F762" s="50">
        <f>SUM(F763:F766)</f>
        <v>120</v>
      </c>
      <c r="G762" s="51">
        <f t="shared" ref="G762:G791" si="57">IF(D762&lt;&gt;0,F762/D762,0)</f>
        <v>0.37938665823585205</v>
      </c>
      <c r="H762" s="174" t="s">
        <v>470</v>
      </c>
      <c r="I762" s="143" t="s">
        <v>767</v>
      </c>
      <c r="J762" s="143" t="s">
        <v>701</v>
      </c>
      <c r="K762" s="134" t="s">
        <v>516</v>
      </c>
      <c r="L762" s="181" t="s">
        <v>768</v>
      </c>
      <c r="M762" s="292">
        <v>805</v>
      </c>
    </row>
    <row r="763" spans="1:13" ht="18.95" customHeight="1">
      <c r="A763" s="140"/>
      <c r="B763" s="140"/>
      <c r="C763" s="48" t="s">
        <v>17</v>
      </c>
      <c r="D763" s="49">
        <v>316.3</v>
      </c>
      <c r="E763" s="50">
        <v>120</v>
      </c>
      <c r="F763" s="50">
        <v>120</v>
      </c>
      <c r="G763" s="52">
        <f t="shared" si="57"/>
        <v>0.37938665823585205</v>
      </c>
      <c r="H763" s="175"/>
      <c r="I763" s="144"/>
      <c r="J763" s="144"/>
      <c r="K763" s="135"/>
      <c r="L763" s="181"/>
      <c r="M763" s="292"/>
    </row>
    <row r="764" spans="1:13" ht="18.95" customHeight="1">
      <c r="A764" s="140"/>
      <c r="B764" s="140"/>
      <c r="C764" s="48" t="s">
        <v>19</v>
      </c>
      <c r="D764" s="49">
        <v>0</v>
      </c>
      <c r="E764" s="50">
        <v>0</v>
      </c>
      <c r="F764" s="50">
        <v>0</v>
      </c>
      <c r="G764" s="52">
        <f t="shared" si="57"/>
        <v>0</v>
      </c>
      <c r="H764" s="175"/>
      <c r="I764" s="144"/>
      <c r="J764" s="144"/>
      <c r="K764" s="135"/>
      <c r="L764" s="181"/>
      <c r="M764" s="292"/>
    </row>
    <row r="765" spans="1:13" ht="18.95" customHeight="1">
      <c r="A765" s="140"/>
      <c r="B765" s="140"/>
      <c r="C765" s="48" t="s">
        <v>21</v>
      </c>
      <c r="D765" s="49">
        <v>0</v>
      </c>
      <c r="E765" s="50">
        <v>0</v>
      </c>
      <c r="F765" s="50">
        <v>0</v>
      </c>
      <c r="G765" s="52">
        <f t="shared" si="57"/>
        <v>0</v>
      </c>
      <c r="H765" s="175"/>
      <c r="I765" s="144"/>
      <c r="J765" s="144"/>
      <c r="K765" s="135"/>
      <c r="L765" s="181"/>
      <c r="M765" s="292"/>
    </row>
    <row r="766" spans="1:13" ht="18.95" customHeight="1">
      <c r="A766" s="140"/>
      <c r="B766" s="140"/>
      <c r="C766" s="48" t="s">
        <v>31</v>
      </c>
      <c r="D766" s="49">
        <v>0</v>
      </c>
      <c r="E766" s="50">
        <v>0</v>
      </c>
      <c r="F766" s="50">
        <v>0</v>
      </c>
      <c r="G766" s="52">
        <f t="shared" si="57"/>
        <v>0</v>
      </c>
      <c r="H766" s="175"/>
      <c r="I766" s="145"/>
      <c r="J766" s="145"/>
      <c r="K766" s="135"/>
      <c r="L766" s="181"/>
      <c r="M766" s="292"/>
    </row>
    <row r="767" spans="1:13" ht="18.95" hidden="1" customHeight="1">
      <c r="A767" s="139" t="s">
        <v>517</v>
      </c>
      <c r="B767" s="139" t="s">
        <v>518</v>
      </c>
      <c r="C767" s="48" t="s">
        <v>14</v>
      </c>
      <c r="D767" s="49">
        <f>SUM(D768:D771)</f>
        <v>0</v>
      </c>
      <c r="E767" s="50">
        <f>SUM(E768:E771)</f>
        <v>0</v>
      </c>
      <c r="F767" s="50">
        <f>SUM(F768:F771)</f>
        <v>0</v>
      </c>
      <c r="G767" s="51">
        <f t="shared" si="57"/>
        <v>0</v>
      </c>
      <c r="H767" s="179" t="s">
        <v>519</v>
      </c>
      <c r="I767" s="143" t="s">
        <v>716</v>
      </c>
      <c r="J767" s="143"/>
      <c r="K767" s="134" t="s">
        <v>452</v>
      </c>
      <c r="L767" s="181"/>
    </row>
    <row r="768" spans="1:13" ht="18.95" hidden="1" customHeight="1">
      <c r="A768" s="140"/>
      <c r="B768" s="140"/>
      <c r="C768" s="48" t="s">
        <v>17</v>
      </c>
      <c r="D768" s="49">
        <v>0</v>
      </c>
      <c r="E768" s="50">
        <v>0</v>
      </c>
      <c r="F768" s="50">
        <v>0</v>
      </c>
      <c r="G768" s="52">
        <f t="shared" si="57"/>
        <v>0</v>
      </c>
      <c r="H768" s="180"/>
      <c r="I768" s="144"/>
      <c r="J768" s="144"/>
      <c r="K768" s="135"/>
      <c r="L768" s="181"/>
    </row>
    <row r="769" spans="1:13" ht="18.95" hidden="1" customHeight="1">
      <c r="A769" s="140"/>
      <c r="B769" s="140"/>
      <c r="C769" s="48" t="s">
        <v>19</v>
      </c>
      <c r="D769" s="49">
        <v>0</v>
      </c>
      <c r="E769" s="50">
        <v>0</v>
      </c>
      <c r="F769" s="50">
        <v>0</v>
      </c>
      <c r="G769" s="52">
        <f t="shared" si="57"/>
        <v>0</v>
      </c>
      <c r="H769" s="180"/>
      <c r="I769" s="144"/>
      <c r="J769" s="144"/>
      <c r="K769" s="135"/>
      <c r="L769" s="181"/>
    </row>
    <row r="770" spans="1:13" ht="18.95" hidden="1" customHeight="1">
      <c r="A770" s="140"/>
      <c r="B770" s="140"/>
      <c r="C770" s="48" t="s">
        <v>21</v>
      </c>
      <c r="D770" s="49">
        <v>0</v>
      </c>
      <c r="E770" s="50">
        <v>0</v>
      </c>
      <c r="F770" s="50">
        <v>0</v>
      </c>
      <c r="G770" s="52">
        <f t="shared" si="57"/>
        <v>0</v>
      </c>
      <c r="H770" s="180"/>
      <c r="I770" s="144"/>
      <c r="J770" s="144"/>
      <c r="K770" s="135"/>
      <c r="L770" s="181"/>
    </row>
    <row r="771" spans="1:13" ht="18.95" hidden="1" customHeight="1">
      <c r="A771" s="140"/>
      <c r="B771" s="140"/>
      <c r="C771" s="48" t="s">
        <v>31</v>
      </c>
      <c r="D771" s="49">
        <v>0</v>
      </c>
      <c r="E771" s="50">
        <v>0</v>
      </c>
      <c r="F771" s="50">
        <v>0</v>
      </c>
      <c r="G771" s="52">
        <f t="shared" si="57"/>
        <v>0</v>
      </c>
      <c r="H771" s="180"/>
      <c r="I771" s="145"/>
      <c r="J771" s="145"/>
      <c r="K771" s="135"/>
      <c r="L771" s="181"/>
    </row>
    <row r="772" spans="1:13" ht="18.95" customHeight="1">
      <c r="A772" s="139" t="s">
        <v>520</v>
      </c>
      <c r="B772" s="139" t="s">
        <v>495</v>
      </c>
      <c r="C772" s="48" t="s">
        <v>14</v>
      </c>
      <c r="D772" s="49">
        <f>SUM(D773:D776)</f>
        <v>44550</v>
      </c>
      <c r="E772" s="50">
        <f>SUM(E773:E776)</f>
        <v>11591.548500000001</v>
      </c>
      <c r="F772" s="50">
        <f>SUM(F773:F776)</f>
        <v>11591.5</v>
      </c>
      <c r="G772" s="51">
        <f t="shared" si="57"/>
        <v>0.26019079685746355</v>
      </c>
      <c r="H772" s="179" t="s">
        <v>496</v>
      </c>
      <c r="I772" s="182" t="s">
        <v>769</v>
      </c>
      <c r="J772" s="182" t="s">
        <v>105</v>
      </c>
      <c r="K772" s="134" t="s">
        <v>452</v>
      </c>
      <c r="L772" s="182" t="s">
        <v>770</v>
      </c>
      <c r="M772" s="292">
        <v>805</v>
      </c>
    </row>
    <row r="773" spans="1:13" ht="18.95" customHeight="1">
      <c r="A773" s="140"/>
      <c r="B773" s="140"/>
      <c r="C773" s="48" t="s">
        <v>17</v>
      </c>
      <c r="D773" s="49">
        <v>44550</v>
      </c>
      <c r="E773" s="50">
        <v>11591.548500000001</v>
      </c>
      <c r="F773" s="50">
        <v>11591.5</v>
      </c>
      <c r="G773" s="52">
        <f t="shared" si="57"/>
        <v>0.26019079685746355</v>
      </c>
      <c r="H773" s="180"/>
      <c r="I773" s="182"/>
      <c r="J773" s="182"/>
      <c r="K773" s="135"/>
      <c r="L773" s="182"/>
      <c r="M773" s="292"/>
    </row>
    <row r="774" spans="1:13" ht="18.95" customHeight="1">
      <c r="A774" s="140"/>
      <c r="B774" s="140"/>
      <c r="C774" s="48" t="s">
        <v>19</v>
      </c>
      <c r="D774" s="49">
        <v>0</v>
      </c>
      <c r="E774" s="50">
        <v>0</v>
      </c>
      <c r="F774" s="50">
        <v>0</v>
      </c>
      <c r="G774" s="52">
        <f t="shared" si="57"/>
        <v>0</v>
      </c>
      <c r="H774" s="180"/>
      <c r="I774" s="182"/>
      <c r="J774" s="182"/>
      <c r="K774" s="135"/>
      <c r="L774" s="182"/>
      <c r="M774" s="292"/>
    </row>
    <row r="775" spans="1:13" ht="18.95" customHeight="1">
      <c r="A775" s="140"/>
      <c r="B775" s="140"/>
      <c r="C775" s="48" t="s">
        <v>21</v>
      </c>
      <c r="D775" s="49">
        <v>0</v>
      </c>
      <c r="E775" s="50">
        <v>0</v>
      </c>
      <c r="F775" s="50">
        <v>0</v>
      </c>
      <c r="G775" s="52">
        <f t="shared" si="57"/>
        <v>0</v>
      </c>
      <c r="H775" s="180"/>
      <c r="I775" s="182"/>
      <c r="J775" s="182"/>
      <c r="K775" s="135"/>
      <c r="L775" s="182"/>
      <c r="M775" s="292"/>
    </row>
    <row r="776" spans="1:13" ht="18.95" customHeight="1">
      <c r="A776" s="140"/>
      <c r="B776" s="140"/>
      <c r="C776" s="48" t="s">
        <v>31</v>
      </c>
      <c r="D776" s="49">
        <v>0</v>
      </c>
      <c r="E776" s="50">
        <v>0</v>
      </c>
      <c r="F776" s="50">
        <v>0</v>
      </c>
      <c r="G776" s="52">
        <f t="shared" si="57"/>
        <v>0</v>
      </c>
      <c r="H776" s="180"/>
      <c r="I776" s="182"/>
      <c r="J776" s="182"/>
      <c r="K776" s="135"/>
      <c r="L776" s="182"/>
      <c r="M776" s="292"/>
    </row>
    <row r="777" spans="1:13" ht="18.95" hidden="1" customHeight="1">
      <c r="A777" s="139" t="s">
        <v>521</v>
      </c>
      <c r="B777" s="139" t="s">
        <v>522</v>
      </c>
      <c r="C777" s="48" t="s">
        <v>14</v>
      </c>
      <c r="D777" s="59">
        <f>SUM(D778:D781)</f>
        <v>0</v>
      </c>
      <c r="E777" s="50">
        <f>SUM(E778:E781)</f>
        <v>0</v>
      </c>
      <c r="F777" s="50">
        <f>SUM(F778:F781)</f>
        <v>0</v>
      </c>
      <c r="G777" s="51">
        <f t="shared" si="57"/>
        <v>0</v>
      </c>
      <c r="H777" s="179" t="s">
        <v>523</v>
      </c>
      <c r="I777" s="182" t="s">
        <v>716</v>
      </c>
      <c r="J777" s="182"/>
      <c r="K777" s="134" t="s">
        <v>524</v>
      </c>
      <c r="L777" s="181"/>
    </row>
    <row r="778" spans="1:13" ht="18.95" hidden="1" customHeight="1">
      <c r="A778" s="140"/>
      <c r="B778" s="140"/>
      <c r="C778" s="48" t="s">
        <v>17</v>
      </c>
      <c r="D778" s="49">
        <v>0</v>
      </c>
      <c r="E778" s="50">
        <v>0</v>
      </c>
      <c r="F778" s="50"/>
      <c r="G778" s="52">
        <f t="shared" si="57"/>
        <v>0</v>
      </c>
      <c r="H778" s="185"/>
      <c r="I778" s="182"/>
      <c r="J778" s="182"/>
      <c r="K778" s="135"/>
      <c r="L778" s="181"/>
    </row>
    <row r="779" spans="1:13" ht="18.95" hidden="1" customHeight="1">
      <c r="A779" s="140"/>
      <c r="B779" s="140"/>
      <c r="C779" s="48" t="s">
        <v>19</v>
      </c>
      <c r="D779" s="49">
        <v>0</v>
      </c>
      <c r="E779" s="50">
        <v>0</v>
      </c>
      <c r="F779" s="50">
        <v>0</v>
      </c>
      <c r="G779" s="52">
        <f t="shared" si="57"/>
        <v>0</v>
      </c>
      <c r="H779" s="185"/>
      <c r="I779" s="182"/>
      <c r="J779" s="182"/>
      <c r="K779" s="135"/>
      <c r="L779" s="181"/>
    </row>
    <row r="780" spans="1:13" ht="18.95" hidden="1" customHeight="1">
      <c r="A780" s="140"/>
      <c r="B780" s="140"/>
      <c r="C780" s="48" t="s">
        <v>21</v>
      </c>
      <c r="D780" s="49">
        <v>0</v>
      </c>
      <c r="E780" s="50">
        <v>0</v>
      </c>
      <c r="F780" s="50">
        <v>0</v>
      </c>
      <c r="G780" s="52">
        <f t="shared" si="57"/>
        <v>0</v>
      </c>
      <c r="H780" s="185"/>
      <c r="I780" s="182"/>
      <c r="J780" s="182"/>
      <c r="K780" s="135"/>
      <c r="L780" s="181"/>
    </row>
    <row r="781" spans="1:13" ht="18.95" hidden="1" customHeight="1">
      <c r="A781" s="140"/>
      <c r="B781" s="140"/>
      <c r="C781" s="48" t="s">
        <v>31</v>
      </c>
      <c r="D781" s="49">
        <v>0</v>
      </c>
      <c r="E781" s="50">
        <v>0</v>
      </c>
      <c r="F781" s="50">
        <v>0</v>
      </c>
      <c r="G781" s="52">
        <f t="shared" si="57"/>
        <v>0</v>
      </c>
      <c r="H781" s="185"/>
      <c r="I781" s="182"/>
      <c r="J781" s="182"/>
      <c r="K781" s="135"/>
      <c r="L781" s="181"/>
    </row>
    <row r="782" spans="1:13" ht="18.95" customHeight="1">
      <c r="A782" s="155" t="s">
        <v>525</v>
      </c>
      <c r="B782" s="160" t="s">
        <v>526</v>
      </c>
      <c r="C782" s="33" t="s">
        <v>14</v>
      </c>
      <c r="D782" s="34">
        <f>SUM(D783:D786)</f>
        <v>339439.3</v>
      </c>
      <c r="E782" s="37">
        <f>SUM(E783:E786)</f>
        <v>58570.394220000002</v>
      </c>
      <c r="F782" s="37">
        <f>SUM(F783:F786)</f>
        <v>46156.974269999999</v>
      </c>
      <c r="G782" s="35">
        <f t="shared" si="57"/>
        <v>0.13598005378281183</v>
      </c>
      <c r="H782" s="155"/>
      <c r="I782" s="69" t="s">
        <v>15</v>
      </c>
      <c r="J782" s="77">
        <f>J787+J837</f>
        <v>17</v>
      </c>
      <c r="K782" s="155" t="s">
        <v>527</v>
      </c>
      <c r="L782" s="183"/>
      <c r="M782" s="292">
        <v>805</v>
      </c>
    </row>
    <row r="783" spans="1:13" ht="18.95" customHeight="1">
      <c r="A783" s="156"/>
      <c r="B783" s="161"/>
      <c r="C783" s="33" t="s">
        <v>17</v>
      </c>
      <c r="D783" s="34">
        <f t="shared" ref="D783:F784" si="58">D788+D838</f>
        <v>299485</v>
      </c>
      <c r="E783" s="54">
        <f t="shared" si="58"/>
        <v>58570.394220000002</v>
      </c>
      <c r="F783" s="54">
        <f t="shared" si="58"/>
        <v>46156.974269999999</v>
      </c>
      <c r="G783" s="38">
        <f t="shared" si="57"/>
        <v>0.15412115555036146</v>
      </c>
      <c r="H783" s="156"/>
      <c r="I783" s="69" t="s">
        <v>18</v>
      </c>
      <c r="J783" s="77">
        <f>COUNTIF($J$797:$J$901,"да")</f>
        <v>0</v>
      </c>
      <c r="K783" s="156"/>
      <c r="L783" s="183"/>
      <c r="M783" s="292"/>
    </row>
    <row r="784" spans="1:13" ht="18.95" customHeight="1">
      <c r="A784" s="156"/>
      <c r="B784" s="161"/>
      <c r="C784" s="33" t="s">
        <v>19</v>
      </c>
      <c r="D784" s="34">
        <f t="shared" si="58"/>
        <v>39954.300000000003</v>
      </c>
      <c r="E784" s="54">
        <f t="shared" si="58"/>
        <v>0</v>
      </c>
      <c r="F784" s="54">
        <f t="shared" si="58"/>
        <v>0</v>
      </c>
      <c r="G784" s="38">
        <f t="shared" si="57"/>
        <v>0</v>
      </c>
      <c r="H784" s="156"/>
      <c r="I784" s="69" t="s">
        <v>20</v>
      </c>
      <c r="J784" s="77">
        <f>COUNTIF($J$797:$J$901,"частично")</f>
        <v>3</v>
      </c>
      <c r="K784" s="156"/>
      <c r="L784" s="183"/>
      <c r="M784" s="292"/>
    </row>
    <row r="785" spans="1:13" ht="18.95" customHeight="1">
      <c r="A785" s="156"/>
      <c r="B785" s="161"/>
      <c r="C785" s="33" t="s">
        <v>21</v>
      </c>
      <c r="D785" s="34">
        <v>0</v>
      </c>
      <c r="E785" s="54">
        <f>E790+E840</f>
        <v>0</v>
      </c>
      <c r="F785" s="54">
        <f>F790+F840</f>
        <v>0</v>
      </c>
      <c r="G785" s="38">
        <f t="shared" si="57"/>
        <v>0</v>
      </c>
      <c r="H785" s="156"/>
      <c r="I785" s="69" t="s">
        <v>22</v>
      </c>
      <c r="J785" s="77">
        <f>COUNTIF($J$797:$J$901,"нет")</f>
        <v>14</v>
      </c>
      <c r="K785" s="156"/>
      <c r="L785" s="183"/>
      <c r="M785" s="292"/>
    </row>
    <row r="786" spans="1:13" ht="18.95" customHeight="1">
      <c r="A786" s="156"/>
      <c r="B786" s="161"/>
      <c r="C786" s="33" t="s">
        <v>31</v>
      </c>
      <c r="D786" s="34">
        <f>SUM(D791)</f>
        <v>0</v>
      </c>
      <c r="E786" s="54">
        <f>E791+E841</f>
        <v>0</v>
      </c>
      <c r="F786" s="54">
        <f>F791+F841</f>
        <v>0</v>
      </c>
      <c r="G786" s="38">
        <f t="shared" si="57"/>
        <v>0</v>
      </c>
      <c r="H786" s="156"/>
      <c r="I786" s="69" t="s">
        <v>24</v>
      </c>
      <c r="J786" s="70">
        <f>IF(J782=0,0,(J783+J784*0.5)/J782)</f>
        <v>8.8235294117647065E-2</v>
      </c>
      <c r="K786" s="156"/>
      <c r="L786" s="183"/>
      <c r="M786" s="292"/>
    </row>
    <row r="787" spans="1:13" ht="18.95" customHeight="1">
      <c r="A787" s="123" t="s">
        <v>528</v>
      </c>
      <c r="B787" s="123" t="s">
        <v>529</v>
      </c>
      <c r="C787" s="40" t="s">
        <v>14</v>
      </c>
      <c r="D787" s="41">
        <f>SUM(D788:D791)</f>
        <v>119392.2</v>
      </c>
      <c r="E787" s="42">
        <f>SUM(E788:E791)</f>
        <v>48658.213950000005</v>
      </c>
      <c r="F787" s="42">
        <f>SUM(F788:F791)</f>
        <v>36244.794000000002</v>
      </c>
      <c r="G787" s="43">
        <f t="shared" si="57"/>
        <v>0.30357757039404587</v>
      </c>
      <c r="H787" s="123" t="s">
        <v>530</v>
      </c>
      <c r="I787" s="65" t="s">
        <v>15</v>
      </c>
      <c r="J787" s="65">
        <f>SUM(J788:J790)</f>
        <v>5</v>
      </c>
      <c r="K787" s="123" t="s">
        <v>531</v>
      </c>
      <c r="L787" s="184"/>
      <c r="M787" s="292">
        <v>805</v>
      </c>
    </row>
    <row r="788" spans="1:13" ht="18.95" customHeight="1">
      <c r="A788" s="124"/>
      <c r="B788" s="124"/>
      <c r="C788" s="40" t="s">
        <v>17</v>
      </c>
      <c r="D788" s="41">
        <f t="shared" ref="D788:F789" si="59">SUM(D793,D798,D803,D808,D813,D818,D823,D828,D833)</f>
        <v>119392.2</v>
      </c>
      <c r="E788" s="47">
        <f t="shared" si="59"/>
        <v>48658.213950000005</v>
      </c>
      <c r="F788" s="47">
        <f t="shared" si="59"/>
        <v>36244.794000000002</v>
      </c>
      <c r="G788" s="45">
        <f t="shared" si="57"/>
        <v>0.30357757039404587</v>
      </c>
      <c r="H788" s="124"/>
      <c r="I788" s="65" t="s">
        <v>18</v>
      </c>
      <c r="J788" s="65">
        <f>COUNTIF($J$797:$J$836,"да")</f>
        <v>0</v>
      </c>
      <c r="K788" s="124"/>
      <c r="L788" s="184"/>
      <c r="M788" s="292"/>
    </row>
    <row r="789" spans="1:13" ht="18.95" customHeight="1">
      <c r="A789" s="124"/>
      <c r="B789" s="124"/>
      <c r="C789" s="40" t="s">
        <v>19</v>
      </c>
      <c r="D789" s="41">
        <f t="shared" si="59"/>
        <v>0</v>
      </c>
      <c r="E789" s="47">
        <f t="shared" si="59"/>
        <v>0</v>
      </c>
      <c r="F789" s="47">
        <f t="shared" si="59"/>
        <v>0</v>
      </c>
      <c r="G789" s="45">
        <f t="shared" si="57"/>
        <v>0</v>
      </c>
      <c r="H789" s="124"/>
      <c r="I789" s="65" t="s">
        <v>20</v>
      </c>
      <c r="J789" s="65">
        <f>COUNTIF($J$797:$J$836,"частично")</f>
        <v>2</v>
      </c>
      <c r="K789" s="124"/>
      <c r="L789" s="184"/>
      <c r="M789" s="292"/>
    </row>
    <row r="790" spans="1:13" ht="18.95" customHeight="1">
      <c r="A790" s="124"/>
      <c r="B790" s="124"/>
      <c r="C790" s="40" t="s">
        <v>21</v>
      </c>
      <c r="D790" s="41">
        <v>0</v>
      </c>
      <c r="E790" s="47">
        <f>SUM(E795,E800,E805,E810,E815,E820,E825,E830,E835)</f>
        <v>0</v>
      </c>
      <c r="F790" s="47">
        <f>SUM(F795,F800,F805,F810,F815,F820,F825,F830,F835)</f>
        <v>0</v>
      </c>
      <c r="G790" s="45">
        <f t="shared" si="57"/>
        <v>0</v>
      </c>
      <c r="H790" s="124"/>
      <c r="I790" s="65" t="s">
        <v>22</v>
      </c>
      <c r="J790" s="65">
        <f>COUNTIF($J$797:$J$836,"нет")</f>
        <v>3</v>
      </c>
      <c r="K790" s="124"/>
      <c r="L790" s="184"/>
      <c r="M790" s="292"/>
    </row>
    <row r="791" spans="1:13" ht="18.95" customHeight="1">
      <c r="A791" s="124"/>
      <c r="B791" s="124"/>
      <c r="C791" s="40" t="s">
        <v>31</v>
      </c>
      <c r="D791" s="41">
        <f>SUM(D796,D801,D806,D811,D816,D821,D826,D831,D836)</f>
        <v>0</v>
      </c>
      <c r="E791" s="47">
        <f>SUM(E796,E801,E806,E811,E816,E821,E826,E831,E836)</f>
        <v>0</v>
      </c>
      <c r="F791" s="47">
        <f>SUM(F796,F801,F806,F811,F816,F821,F826,F831,F836)</f>
        <v>0</v>
      </c>
      <c r="G791" s="45">
        <f t="shared" si="57"/>
        <v>0</v>
      </c>
      <c r="H791" s="124"/>
      <c r="I791" s="65" t="s">
        <v>24</v>
      </c>
      <c r="J791" s="66">
        <f>IF(J787=0,0,(J788+J789*0.5)/J787)</f>
        <v>0.2</v>
      </c>
      <c r="K791" s="124"/>
      <c r="L791" s="184"/>
      <c r="M791" s="292"/>
    </row>
    <row r="792" spans="1:13" ht="18.95" hidden="1" customHeight="1">
      <c r="A792" s="107" t="s">
        <v>532</v>
      </c>
      <c r="B792" s="107" t="s">
        <v>533</v>
      </c>
      <c r="C792" s="27" t="s">
        <v>14</v>
      </c>
      <c r="D792" s="28">
        <f>SUM(D793:D796)</f>
        <v>0</v>
      </c>
      <c r="E792" s="30">
        <f>SUM(E793:E796)</f>
        <v>0</v>
      </c>
      <c r="F792" s="30">
        <f>SUM(F793:F796)</f>
        <v>0</v>
      </c>
      <c r="G792" s="29">
        <f t="shared" ref="G792:G846" si="60">IF(D792&lt;&gt;0,F792/D792,0)</f>
        <v>0</v>
      </c>
      <c r="H792" s="109" t="s">
        <v>534</v>
      </c>
      <c r="I792" s="164" t="s">
        <v>716</v>
      </c>
      <c r="J792" s="164"/>
      <c r="K792" s="107" t="s">
        <v>137</v>
      </c>
      <c r="L792" s="186" t="s">
        <v>717</v>
      </c>
    </row>
    <row r="793" spans="1:13" ht="18.95" hidden="1" customHeight="1">
      <c r="A793" s="108"/>
      <c r="B793" s="108"/>
      <c r="C793" s="27" t="s">
        <v>17</v>
      </c>
      <c r="D793" s="28">
        <v>0</v>
      </c>
      <c r="E793" s="30">
        <v>0</v>
      </c>
      <c r="F793" s="30">
        <v>0</v>
      </c>
      <c r="G793" s="31">
        <f t="shared" si="60"/>
        <v>0</v>
      </c>
      <c r="H793" s="110"/>
      <c r="I793" s="164"/>
      <c r="J793" s="164"/>
      <c r="K793" s="108"/>
      <c r="L793" s="186"/>
    </row>
    <row r="794" spans="1:13" ht="18.95" hidden="1" customHeight="1">
      <c r="A794" s="108"/>
      <c r="B794" s="108"/>
      <c r="C794" s="27" t="s">
        <v>19</v>
      </c>
      <c r="D794" s="28">
        <v>0</v>
      </c>
      <c r="E794" s="30">
        <v>0</v>
      </c>
      <c r="F794" s="30">
        <v>0</v>
      </c>
      <c r="G794" s="31">
        <f t="shared" si="60"/>
        <v>0</v>
      </c>
      <c r="H794" s="110"/>
      <c r="I794" s="164"/>
      <c r="J794" s="164"/>
      <c r="K794" s="108"/>
      <c r="L794" s="186"/>
    </row>
    <row r="795" spans="1:13" ht="18.95" hidden="1" customHeight="1">
      <c r="A795" s="108"/>
      <c r="B795" s="108"/>
      <c r="C795" s="27" t="s">
        <v>21</v>
      </c>
      <c r="D795" s="28">
        <v>0</v>
      </c>
      <c r="E795" s="30">
        <v>0</v>
      </c>
      <c r="F795" s="30">
        <v>0</v>
      </c>
      <c r="G795" s="31">
        <f t="shared" si="60"/>
        <v>0</v>
      </c>
      <c r="H795" s="110"/>
      <c r="I795" s="164"/>
      <c r="J795" s="164"/>
      <c r="K795" s="108"/>
      <c r="L795" s="186"/>
    </row>
    <row r="796" spans="1:13" ht="18.95" hidden="1" customHeight="1">
      <c r="A796" s="108"/>
      <c r="B796" s="108"/>
      <c r="C796" s="27" t="s">
        <v>31</v>
      </c>
      <c r="D796" s="28">
        <v>0</v>
      </c>
      <c r="E796" s="30">
        <v>0</v>
      </c>
      <c r="F796" s="30">
        <v>0</v>
      </c>
      <c r="G796" s="31">
        <f t="shared" si="60"/>
        <v>0</v>
      </c>
      <c r="H796" s="110"/>
      <c r="I796" s="164"/>
      <c r="J796" s="164"/>
      <c r="K796" s="108"/>
      <c r="L796" s="186"/>
    </row>
    <row r="797" spans="1:13" ht="18.95" customHeight="1">
      <c r="A797" s="107" t="s">
        <v>535</v>
      </c>
      <c r="B797" s="107" t="s">
        <v>37</v>
      </c>
      <c r="C797" s="27" t="s">
        <v>14</v>
      </c>
      <c r="D797" s="28">
        <f>SUM(D798:D801)</f>
        <v>63112.9</v>
      </c>
      <c r="E797" s="30">
        <f>SUM(E798:E801)</f>
        <v>23527.653340000001</v>
      </c>
      <c r="F797" s="30">
        <f>SUM(F798:F801)</f>
        <v>18368.5</v>
      </c>
      <c r="G797" s="29">
        <f t="shared" si="60"/>
        <v>0.29104192645243682</v>
      </c>
      <c r="H797" s="109" t="s">
        <v>536</v>
      </c>
      <c r="I797" s="164" t="s">
        <v>718</v>
      </c>
      <c r="J797" s="164" t="s">
        <v>105</v>
      </c>
      <c r="K797" s="107" t="s">
        <v>537</v>
      </c>
      <c r="L797" s="186" t="s">
        <v>814</v>
      </c>
      <c r="M797" s="292">
        <v>805</v>
      </c>
    </row>
    <row r="798" spans="1:13" ht="18.95" customHeight="1">
      <c r="A798" s="108"/>
      <c r="B798" s="108"/>
      <c r="C798" s="27" t="s">
        <v>17</v>
      </c>
      <c r="D798" s="28">
        <f>63112.9</f>
        <v>63112.9</v>
      </c>
      <c r="E798" s="30">
        <v>23527.653340000001</v>
      </c>
      <c r="F798" s="30">
        <v>18368.5</v>
      </c>
      <c r="G798" s="31">
        <f t="shared" si="60"/>
        <v>0.29104192645243682</v>
      </c>
      <c r="H798" s="110"/>
      <c r="I798" s="164"/>
      <c r="J798" s="164"/>
      <c r="K798" s="108"/>
      <c r="L798" s="186"/>
      <c r="M798" s="292"/>
    </row>
    <row r="799" spans="1:13" ht="18.95" customHeight="1">
      <c r="A799" s="108"/>
      <c r="B799" s="108"/>
      <c r="C799" s="27" t="s">
        <v>19</v>
      </c>
      <c r="D799" s="28">
        <v>0</v>
      </c>
      <c r="E799" s="30">
        <v>0</v>
      </c>
      <c r="F799" s="30">
        <v>0</v>
      </c>
      <c r="G799" s="31">
        <f t="shared" si="60"/>
        <v>0</v>
      </c>
      <c r="H799" s="110"/>
      <c r="I799" s="164"/>
      <c r="J799" s="164"/>
      <c r="K799" s="108"/>
      <c r="L799" s="186"/>
      <c r="M799" s="292"/>
    </row>
    <row r="800" spans="1:13" ht="18.95" customHeight="1">
      <c r="A800" s="108"/>
      <c r="B800" s="108"/>
      <c r="C800" s="27" t="s">
        <v>21</v>
      </c>
      <c r="D800" s="28">
        <v>0</v>
      </c>
      <c r="E800" s="30">
        <v>0</v>
      </c>
      <c r="F800" s="30">
        <v>0</v>
      </c>
      <c r="G800" s="31">
        <f t="shared" si="60"/>
        <v>0</v>
      </c>
      <c r="H800" s="110"/>
      <c r="I800" s="164"/>
      <c r="J800" s="164"/>
      <c r="K800" s="108"/>
      <c r="L800" s="186"/>
      <c r="M800" s="292"/>
    </row>
    <row r="801" spans="1:13" ht="18.95" customHeight="1">
      <c r="A801" s="108"/>
      <c r="B801" s="108"/>
      <c r="C801" s="27" t="s">
        <v>31</v>
      </c>
      <c r="D801" s="28">
        <v>0</v>
      </c>
      <c r="E801" s="30">
        <v>0</v>
      </c>
      <c r="F801" s="30">
        <v>0</v>
      </c>
      <c r="G801" s="31">
        <f t="shared" si="60"/>
        <v>0</v>
      </c>
      <c r="H801" s="110"/>
      <c r="I801" s="164"/>
      <c r="J801" s="164"/>
      <c r="K801" s="108"/>
      <c r="L801" s="186"/>
      <c r="M801" s="292"/>
    </row>
    <row r="802" spans="1:13" ht="18.95" customHeight="1">
      <c r="A802" s="107" t="s">
        <v>538</v>
      </c>
      <c r="B802" s="107" t="s">
        <v>539</v>
      </c>
      <c r="C802" s="27" t="s">
        <v>14</v>
      </c>
      <c r="D802" s="28">
        <f>SUM(D803:D806)</f>
        <v>10500</v>
      </c>
      <c r="E802" s="30">
        <f>SUM(E803:E806)</f>
        <v>0</v>
      </c>
      <c r="F802" s="30">
        <f>SUM(F803:F806)</f>
        <v>0</v>
      </c>
      <c r="G802" s="29">
        <f t="shared" si="60"/>
        <v>0</v>
      </c>
      <c r="H802" s="109" t="s">
        <v>540</v>
      </c>
      <c r="I802" s="164" t="s">
        <v>719</v>
      </c>
      <c r="J802" s="164" t="s">
        <v>105</v>
      </c>
      <c r="K802" s="107" t="s">
        <v>541</v>
      </c>
      <c r="L802" s="104" t="s">
        <v>720</v>
      </c>
      <c r="M802" s="292">
        <v>805</v>
      </c>
    </row>
    <row r="803" spans="1:13" ht="18.95" customHeight="1">
      <c r="A803" s="108"/>
      <c r="B803" s="108"/>
      <c r="C803" s="27" t="s">
        <v>17</v>
      </c>
      <c r="D803" s="28">
        <f>9000+1500</f>
        <v>10500</v>
      </c>
      <c r="E803" s="30">
        <v>0</v>
      </c>
      <c r="F803" s="30">
        <v>0</v>
      </c>
      <c r="G803" s="31">
        <f t="shared" si="60"/>
        <v>0</v>
      </c>
      <c r="H803" s="110"/>
      <c r="I803" s="164"/>
      <c r="J803" s="164"/>
      <c r="K803" s="108"/>
      <c r="L803" s="105"/>
      <c r="M803" s="292"/>
    </row>
    <row r="804" spans="1:13" ht="18.95" customHeight="1">
      <c r="A804" s="108"/>
      <c r="B804" s="108"/>
      <c r="C804" s="27" t="s">
        <v>19</v>
      </c>
      <c r="D804" s="28">
        <v>0</v>
      </c>
      <c r="E804" s="30">
        <v>0</v>
      </c>
      <c r="F804" s="30">
        <v>0</v>
      </c>
      <c r="G804" s="31">
        <f t="shared" si="60"/>
        <v>0</v>
      </c>
      <c r="H804" s="110"/>
      <c r="I804" s="164"/>
      <c r="J804" s="164"/>
      <c r="K804" s="108"/>
      <c r="L804" s="105"/>
      <c r="M804" s="292"/>
    </row>
    <row r="805" spans="1:13" ht="18.95" customHeight="1">
      <c r="A805" s="108"/>
      <c r="B805" s="108"/>
      <c r="C805" s="27" t="s">
        <v>21</v>
      </c>
      <c r="D805" s="28">
        <v>0</v>
      </c>
      <c r="E805" s="30">
        <v>0</v>
      </c>
      <c r="F805" s="30">
        <v>0</v>
      </c>
      <c r="G805" s="31">
        <f t="shared" si="60"/>
        <v>0</v>
      </c>
      <c r="H805" s="110"/>
      <c r="I805" s="164"/>
      <c r="J805" s="164"/>
      <c r="K805" s="108"/>
      <c r="L805" s="105"/>
      <c r="M805" s="292"/>
    </row>
    <row r="806" spans="1:13" ht="18.95" customHeight="1">
      <c r="A806" s="108"/>
      <c r="B806" s="108"/>
      <c r="C806" s="27" t="s">
        <v>31</v>
      </c>
      <c r="D806" s="28">
        <v>0</v>
      </c>
      <c r="E806" s="30">
        <v>0</v>
      </c>
      <c r="F806" s="30">
        <v>0</v>
      </c>
      <c r="G806" s="31">
        <f t="shared" si="60"/>
        <v>0</v>
      </c>
      <c r="H806" s="110"/>
      <c r="I806" s="164"/>
      <c r="J806" s="164"/>
      <c r="K806" s="108"/>
      <c r="L806" s="106"/>
      <c r="M806" s="292"/>
    </row>
    <row r="807" spans="1:13" ht="18.95" customHeight="1">
      <c r="A807" s="107" t="s">
        <v>542</v>
      </c>
      <c r="B807" s="109" t="s">
        <v>543</v>
      </c>
      <c r="C807" s="27" t="s">
        <v>14</v>
      </c>
      <c r="D807" s="28">
        <f>SUM(D808:D811)</f>
        <v>65</v>
      </c>
      <c r="E807" s="30">
        <f>SUM(E808:E811)</f>
        <v>0</v>
      </c>
      <c r="F807" s="30">
        <f>SUM(F808:F811)</f>
        <v>0</v>
      </c>
      <c r="G807" s="29">
        <f t="shared" si="60"/>
        <v>0</v>
      </c>
      <c r="H807" s="109" t="s">
        <v>544</v>
      </c>
      <c r="I807" s="188" t="s">
        <v>717</v>
      </c>
      <c r="J807" s="164" t="s">
        <v>105</v>
      </c>
      <c r="K807" s="107" t="s">
        <v>531</v>
      </c>
      <c r="L807" s="191" t="s">
        <v>721</v>
      </c>
      <c r="M807" s="292">
        <v>805</v>
      </c>
    </row>
    <row r="808" spans="1:13" ht="18.95" customHeight="1">
      <c r="A808" s="108"/>
      <c r="B808" s="110"/>
      <c r="C808" s="27" t="s">
        <v>17</v>
      </c>
      <c r="D808" s="28">
        <v>65</v>
      </c>
      <c r="E808" s="30">
        <v>0</v>
      </c>
      <c r="F808" s="30">
        <v>0</v>
      </c>
      <c r="G808" s="31">
        <f t="shared" si="60"/>
        <v>0</v>
      </c>
      <c r="H808" s="110"/>
      <c r="I808" s="189"/>
      <c r="J808" s="164"/>
      <c r="K808" s="108"/>
      <c r="L808" s="192"/>
      <c r="M808" s="292"/>
    </row>
    <row r="809" spans="1:13" ht="18.95" customHeight="1">
      <c r="A809" s="108"/>
      <c r="B809" s="110"/>
      <c r="C809" s="27" t="s">
        <v>19</v>
      </c>
      <c r="D809" s="28">
        <v>0</v>
      </c>
      <c r="E809" s="30">
        <v>0</v>
      </c>
      <c r="F809" s="30">
        <v>0</v>
      </c>
      <c r="G809" s="31">
        <f t="shared" si="60"/>
        <v>0</v>
      </c>
      <c r="H809" s="110"/>
      <c r="I809" s="189"/>
      <c r="J809" s="164"/>
      <c r="K809" s="108"/>
      <c r="L809" s="192"/>
      <c r="M809" s="292"/>
    </row>
    <row r="810" spans="1:13" ht="18.95" customHeight="1">
      <c r="A810" s="108"/>
      <c r="B810" s="110"/>
      <c r="C810" s="27" t="s">
        <v>21</v>
      </c>
      <c r="D810" s="28">
        <v>0</v>
      </c>
      <c r="E810" s="30">
        <v>0</v>
      </c>
      <c r="F810" s="30">
        <v>0</v>
      </c>
      <c r="G810" s="31">
        <f t="shared" si="60"/>
        <v>0</v>
      </c>
      <c r="H810" s="110"/>
      <c r="I810" s="189"/>
      <c r="J810" s="164"/>
      <c r="K810" s="108"/>
      <c r="L810" s="192"/>
      <c r="M810" s="292"/>
    </row>
    <row r="811" spans="1:13" ht="18.95" customHeight="1">
      <c r="A811" s="108"/>
      <c r="B811" s="110"/>
      <c r="C811" s="27" t="s">
        <v>31</v>
      </c>
      <c r="D811" s="28">
        <v>0</v>
      </c>
      <c r="E811" s="30">
        <v>0</v>
      </c>
      <c r="F811" s="30">
        <v>0</v>
      </c>
      <c r="G811" s="31">
        <f t="shared" si="60"/>
        <v>0</v>
      </c>
      <c r="H811" s="110"/>
      <c r="I811" s="190"/>
      <c r="J811" s="164"/>
      <c r="K811" s="108"/>
      <c r="L811" s="193"/>
      <c r="M811" s="292"/>
    </row>
    <row r="812" spans="1:13" ht="18.95" hidden="1" customHeight="1">
      <c r="A812" s="107" t="s">
        <v>545</v>
      </c>
      <c r="B812" s="109" t="s">
        <v>546</v>
      </c>
      <c r="C812" s="27" t="s">
        <v>14</v>
      </c>
      <c r="D812" s="28">
        <f>SUM(D813:D816)</f>
        <v>0</v>
      </c>
      <c r="E812" s="30">
        <f>SUM(E813:E816)</f>
        <v>0</v>
      </c>
      <c r="F812" s="30">
        <f>SUM(F813:F816)</f>
        <v>0</v>
      </c>
      <c r="G812" s="29">
        <f t="shared" si="60"/>
        <v>0</v>
      </c>
      <c r="H812" s="109" t="s">
        <v>547</v>
      </c>
      <c r="I812" s="164" t="s">
        <v>716</v>
      </c>
      <c r="J812" s="164"/>
      <c r="K812" s="107" t="s">
        <v>137</v>
      </c>
      <c r="L812" s="186" t="s">
        <v>717</v>
      </c>
    </row>
    <row r="813" spans="1:13" ht="18.95" hidden="1" customHeight="1">
      <c r="A813" s="108"/>
      <c r="B813" s="110"/>
      <c r="C813" s="27" t="s">
        <v>17</v>
      </c>
      <c r="D813" s="28">
        <v>0</v>
      </c>
      <c r="E813" s="30">
        <v>0</v>
      </c>
      <c r="F813" s="30">
        <v>0</v>
      </c>
      <c r="G813" s="31">
        <f t="shared" si="60"/>
        <v>0</v>
      </c>
      <c r="H813" s="110"/>
      <c r="I813" s="164"/>
      <c r="J813" s="164"/>
      <c r="K813" s="108"/>
      <c r="L813" s="186"/>
    </row>
    <row r="814" spans="1:13" ht="18.95" hidden="1" customHeight="1">
      <c r="A814" s="108"/>
      <c r="B814" s="110"/>
      <c r="C814" s="27" t="s">
        <v>19</v>
      </c>
      <c r="D814" s="28">
        <v>0</v>
      </c>
      <c r="E814" s="30">
        <v>0</v>
      </c>
      <c r="F814" s="30">
        <v>0</v>
      </c>
      <c r="G814" s="31">
        <f t="shared" si="60"/>
        <v>0</v>
      </c>
      <c r="H814" s="110"/>
      <c r="I814" s="164"/>
      <c r="J814" s="164"/>
      <c r="K814" s="108"/>
      <c r="L814" s="186"/>
    </row>
    <row r="815" spans="1:13" ht="18.95" hidden="1" customHeight="1">
      <c r="A815" s="108"/>
      <c r="B815" s="110"/>
      <c r="C815" s="27" t="s">
        <v>21</v>
      </c>
      <c r="D815" s="28">
        <v>0</v>
      </c>
      <c r="E815" s="30">
        <v>0</v>
      </c>
      <c r="F815" s="30">
        <v>0</v>
      </c>
      <c r="G815" s="31">
        <f t="shared" si="60"/>
        <v>0</v>
      </c>
      <c r="H815" s="110"/>
      <c r="I815" s="164"/>
      <c r="J815" s="164"/>
      <c r="K815" s="108"/>
      <c r="L815" s="186"/>
    </row>
    <row r="816" spans="1:13" ht="18.95" hidden="1" customHeight="1">
      <c r="A816" s="108"/>
      <c r="B816" s="110"/>
      <c r="C816" s="27" t="s">
        <v>31</v>
      </c>
      <c r="D816" s="28">
        <v>0</v>
      </c>
      <c r="E816" s="30">
        <v>0</v>
      </c>
      <c r="F816" s="30">
        <v>0</v>
      </c>
      <c r="G816" s="31">
        <f t="shared" si="60"/>
        <v>0</v>
      </c>
      <c r="H816" s="110"/>
      <c r="I816" s="164"/>
      <c r="J816" s="164"/>
      <c r="K816" s="108"/>
      <c r="L816" s="186"/>
    </row>
    <row r="817" spans="1:13" ht="18.95" customHeight="1">
      <c r="A817" s="107" t="s">
        <v>548</v>
      </c>
      <c r="B817" s="109" t="s">
        <v>549</v>
      </c>
      <c r="C817" s="27" t="s">
        <v>14</v>
      </c>
      <c r="D817" s="28">
        <f>SUM(D818:D821)</f>
        <v>44769.3</v>
      </c>
      <c r="E817" s="30">
        <f>SUM(E818:E821)</f>
        <v>24767.866610000001</v>
      </c>
      <c r="F817" s="30">
        <f>SUM(F818:F821)</f>
        <v>17513.599999999999</v>
      </c>
      <c r="G817" s="29">
        <f>IF(D817&lt;&gt;0,F817/D817,0)</f>
        <v>0.39119664591583958</v>
      </c>
      <c r="H817" s="109" t="s">
        <v>550</v>
      </c>
      <c r="I817" s="187" t="s">
        <v>833</v>
      </c>
      <c r="J817" s="164" t="s">
        <v>701</v>
      </c>
      <c r="K817" s="107" t="s">
        <v>137</v>
      </c>
      <c r="L817" s="104" t="s">
        <v>720</v>
      </c>
      <c r="M817" s="292">
        <v>805</v>
      </c>
    </row>
    <row r="818" spans="1:13" ht="18.95" customHeight="1">
      <c r="A818" s="108"/>
      <c r="B818" s="110"/>
      <c r="C818" s="27" t="s">
        <v>17</v>
      </c>
      <c r="D818" s="28">
        <v>44769.3</v>
      </c>
      <c r="E818" s="30">
        <v>24767.866610000001</v>
      </c>
      <c r="F818" s="30">
        <v>17513.599999999999</v>
      </c>
      <c r="G818" s="31">
        <f>IF(D818&lt;&gt;0,F818/D818,0)</f>
        <v>0.39119664591583958</v>
      </c>
      <c r="H818" s="110"/>
      <c r="I818" s="187"/>
      <c r="J818" s="164"/>
      <c r="K818" s="108"/>
      <c r="L818" s="105"/>
      <c r="M818" s="292"/>
    </row>
    <row r="819" spans="1:13" ht="18.95" customHeight="1">
      <c r="A819" s="108"/>
      <c r="B819" s="110"/>
      <c r="C819" s="27" t="s">
        <v>19</v>
      </c>
      <c r="D819" s="28">
        <v>0</v>
      </c>
      <c r="E819" s="30">
        <v>0</v>
      </c>
      <c r="F819" s="30">
        <v>0</v>
      </c>
      <c r="G819" s="31">
        <f>IF(D819&lt;&gt;0,F819/D819,0)</f>
        <v>0</v>
      </c>
      <c r="H819" s="110"/>
      <c r="I819" s="187"/>
      <c r="J819" s="164"/>
      <c r="K819" s="108"/>
      <c r="L819" s="105"/>
      <c r="M819" s="292"/>
    </row>
    <row r="820" spans="1:13" ht="18.95" customHeight="1">
      <c r="A820" s="108"/>
      <c r="B820" s="110"/>
      <c r="C820" s="27" t="s">
        <v>21</v>
      </c>
      <c r="D820" s="28">
        <v>0</v>
      </c>
      <c r="E820" s="30">
        <v>0</v>
      </c>
      <c r="F820" s="30">
        <v>0</v>
      </c>
      <c r="G820" s="31">
        <f>IF(D820&lt;&gt;0,F820/D820,0)</f>
        <v>0</v>
      </c>
      <c r="H820" s="110"/>
      <c r="I820" s="187"/>
      <c r="J820" s="164"/>
      <c r="K820" s="108"/>
      <c r="L820" s="105"/>
      <c r="M820" s="292"/>
    </row>
    <row r="821" spans="1:13" ht="18.95" customHeight="1">
      <c r="A821" s="108"/>
      <c r="B821" s="110"/>
      <c r="C821" s="27" t="s">
        <v>31</v>
      </c>
      <c r="D821" s="28">
        <v>0</v>
      </c>
      <c r="E821" s="30">
        <v>0</v>
      </c>
      <c r="F821" s="30">
        <v>0</v>
      </c>
      <c r="G821" s="31">
        <f>IF(D821&lt;&gt;0,F821/D821,0)</f>
        <v>0</v>
      </c>
      <c r="H821" s="110"/>
      <c r="I821" s="187"/>
      <c r="J821" s="164"/>
      <c r="K821" s="108"/>
      <c r="L821" s="106"/>
      <c r="M821" s="292"/>
    </row>
    <row r="822" spans="1:13" ht="18.95" hidden="1" customHeight="1">
      <c r="A822" s="107" t="s">
        <v>551</v>
      </c>
      <c r="B822" s="109" t="s">
        <v>552</v>
      </c>
      <c r="C822" s="27" t="s">
        <v>14</v>
      </c>
      <c r="D822" s="28">
        <f>SUM(D823:D826)</f>
        <v>0</v>
      </c>
      <c r="E822" s="30">
        <f>SUM(E823:E826)</f>
        <v>0</v>
      </c>
      <c r="F822" s="30">
        <f>SUM(F823:F826)</f>
        <v>0</v>
      </c>
      <c r="G822" s="29">
        <f t="shared" si="60"/>
        <v>0</v>
      </c>
      <c r="H822" s="107" t="s">
        <v>553</v>
      </c>
      <c r="I822" s="164" t="s">
        <v>716</v>
      </c>
      <c r="J822" s="164"/>
      <c r="K822" s="109" t="s">
        <v>554</v>
      </c>
      <c r="L822" s="164" t="s">
        <v>717</v>
      </c>
    </row>
    <row r="823" spans="1:13" ht="18.95" hidden="1" customHeight="1">
      <c r="A823" s="108"/>
      <c r="B823" s="110"/>
      <c r="C823" s="27" t="s">
        <v>17</v>
      </c>
      <c r="D823" s="28">
        <v>0</v>
      </c>
      <c r="E823" s="30">
        <v>0</v>
      </c>
      <c r="F823" s="30">
        <v>0</v>
      </c>
      <c r="G823" s="31">
        <f t="shared" si="60"/>
        <v>0</v>
      </c>
      <c r="H823" s="108"/>
      <c r="I823" s="164"/>
      <c r="J823" s="164"/>
      <c r="K823" s="110"/>
      <c r="L823" s="164"/>
    </row>
    <row r="824" spans="1:13" ht="18.95" hidden="1" customHeight="1">
      <c r="A824" s="108"/>
      <c r="B824" s="110"/>
      <c r="C824" s="27" t="s">
        <v>19</v>
      </c>
      <c r="D824" s="28">
        <v>0</v>
      </c>
      <c r="E824" s="30">
        <v>0</v>
      </c>
      <c r="F824" s="30">
        <v>0</v>
      </c>
      <c r="G824" s="31">
        <f t="shared" si="60"/>
        <v>0</v>
      </c>
      <c r="H824" s="108"/>
      <c r="I824" s="164"/>
      <c r="J824" s="164"/>
      <c r="K824" s="110"/>
      <c r="L824" s="164"/>
    </row>
    <row r="825" spans="1:13" ht="18.95" hidden="1" customHeight="1">
      <c r="A825" s="108"/>
      <c r="B825" s="110"/>
      <c r="C825" s="27" t="s">
        <v>21</v>
      </c>
      <c r="D825" s="28">
        <v>0</v>
      </c>
      <c r="E825" s="30">
        <v>0</v>
      </c>
      <c r="F825" s="30">
        <v>0</v>
      </c>
      <c r="G825" s="31">
        <f t="shared" si="60"/>
        <v>0</v>
      </c>
      <c r="H825" s="108"/>
      <c r="I825" s="164"/>
      <c r="J825" s="164"/>
      <c r="K825" s="110"/>
      <c r="L825" s="164"/>
    </row>
    <row r="826" spans="1:13" ht="18.95" hidden="1" customHeight="1">
      <c r="A826" s="108"/>
      <c r="B826" s="110"/>
      <c r="C826" s="27" t="s">
        <v>31</v>
      </c>
      <c r="D826" s="28">
        <v>0</v>
      </c>
      <c r="E826" s="30">
        <v>0</v>
      </c>
      <c r="F826" s="30">
        <v>0</v>
      </c>
      <c r="G826" s="31">
        <f t="shared" si="60"/>
        <v>0</v>
      </c>
      <c r="H826" s="108"/>
      <c r="I826" s="164"/>
      <c r="J826" s="164"/>
      <c r="K826" s="110"/>
      <c r="L826" s="164"/>
    </row>
    <row r="827" spans="1:13" ht="18.95" hidden="1" customHeight="1">
      <c r="A827" s="107" t="s">
        <v>555</v>
      </c>
      <c r="B827" s="109" t="s">
        <v>556</v>
      </c>
      <c r="C827" s="27" t="s">
        <v>14</v>
      </c>
      <c r="D827" s="28">
        <f>SUM(D828:D831)</f>
        <v>0</v>
      </c>
      <c r="E827" s="30">
        <f>SUM(E828:E831)</f>
        <v>0</v>
      </c>
      <c r="F827" s="30">
        <f>SUM(F828:F831)</f>
        <v>0</v>
      </c>
      <c r="G827" s="29">
        <f t="shared" si="60"/>
        <v>0</v>
      </c>
      <c r="H827" s="107" t="s">
        <v>557</v>
      </c>
      <c r="I827" s="164" t="s">
        <v>716</v>
      </c>
      <c r="J827" s="164"/>
      <c r="K827" s="107" t="s">
        <v>172</v>
      </c>
      <c r="L827" s="164" t="s">
        <v>717</v>
      </c>
    </row>
    <row r="828" spans="1:13" ht="18.95" hidden="1" customHeight="1">
      <c r="A828" s="108"/>
      <c r="B828" s="110"/>
      <c r="C828" s="27" t="s">
        <v>17</v>
      </c>
      <c r="D828" s="28">
        <v>0</v>
      </c>
      <c r="E828" s="30">
        <v>0</v>
      </c>
      <c r="F828" s="30">
        <v>0</v>
      </c>
      <c r="G828" s="31">
        <f t="shared" si="60"/>
        <v>0</v>
      </c>
      <c r="H828" s="108"/>
      <c r="I828" s="164"/>
      <c r="J828" s="164"/>
      <c r="K828" s="108"/>
      <c r="L828" s="164"/>
    </row>
    <row r="829" spans="1:13" ht="18.95" hidden="1" customHeight="1">
      <c r="A829" s="108"/>
      <c r="B829" s="110"/>
      <c r="C829" s="27" t="s">
        <v>19</v>
      </c>
      <c r="D829" s="28">
        <v>0</v>
      </c>
      <c r="E829" s="30">
        <v>0</v>
      </c>
      <c r="F829" s="30">
        <v>0</v>
      </c>
      <c r="G829" s="31">
        <f t="shared" si="60"/>
        <v>0</v>
      </c>
      <c r="H829" s="108"/>
      <c r="I829" s="164"/>
      <c r="J829" s="164"/>
      <c r="K829" s="108"/>
      <c r="L829" s="164"/>
    </row>
    <row r="830" spans="1:13" ht="18.95" hidden="1" customHeight="1">
      <c r="A830" s="108"/>
      <c r="B830" s="110"/>
      <c r="C830" s="27" t="s">
        <v>21</v>
      </c>
      <c r="D830" s="28">
        <v>0</v>
      </c>
      <c r="E830" s="30">
        <v>0</v>
      </c>
      <c r="F830" s="30">
        <v>0</v>
      </c>
      <c r="G830" s="31">
        <f t="shared" si="60"/>
        <v>0</v>
      </c>
      <c r="H830" s="108"/>
      <c r="I830" s="164"/>
      <c r="J830" s="164"/>
      <c r="K830" s="108"/>
      <c r="L830" s="164"/>
    </row>
    <row r="831" spans="1:13" ht="18.95" hidden="1" customHeight="1">
      <c r="A831" s="108"/>
      <c r="B831" s="110"/>
      <c r="C831" s="27" t="s">
        <v>31</v>
      </c>
      <c r="D831" s="28">
        <v>0</v>
      </c>
      <c r="E831" s="30">
        <v>0</v>
      </c>
      <c r="F831" s="30">
        <v>0</v>
      </c>
      <c r="G831" s="31">
        <f t="shared" si="60"/>
        <v>0</v>
      </c>
      <c r="H831" s="108"/>
      <c r="I831" s="164"/>
      <c r="J831" s="164"/>
      <c r="K831" s="108"/>
      <c r="L831" s="164"/>
    </row>
    <row r="832" spans="1:13" ht="18.95" customHeight="1">
      <c r="A832" s="107" t="s">
        <v>558</v>
      </c>
      <c r="B832" s="109" t="s">
        <v>559</v>
      </c>
      <c r="C832" s="27" t="s">
        <v>14</v>
      </c>
      <c r="D832" s="28">
        <f>SUM(D833:D836)</f>
        <v>945</v>
      </c>
      <c r="E832" s="30">
        <f>SUM(E833:E836)</f>
        <v>362.69400000000002</v>
      </c>
      <c r="F832" s="30">
        <f>SUM(F833:F836)</f>
        <v>362.69400000000002</v>
      </c>
      <c r="G832" s="29">
        <f t="shared" si="60"/>
        <v>0.38380317460317465</v>
      </c>
      <c r="H832" s="107" t="s">
        <v>560</v>
      </c>
      <c r="I832" s="188" t="s">
        <v>722</v>
      </c>
      <c r="J832" s="164" t="s">
        <v>701</v>
      </c>
      <c r="K832" s="107" t="s">
        <v>172</v>
      </c>
      <c r="L832" s="104" t="s">
        <v>720</v>
      </c>
      <c r="M832" s="292">
        <v>805</v>
      </c>
    </row>
    <row r="833" spans="1:13" ht="18.95" customHeight="1">
      <c r="A833" s="108"/>
      <c r="B833" s="110"/>
      <c r="C833" s="27" t="s">
        <v>17</v>
      </c>
      <c r="D833" s="28">
        <v>945</v>
      </c>
      <c r="E833" s="30">
        <v>362.69400000000002</v>
      </c>
      <c r="F833" s="30">
        <v>362.69400000000002</v>
      </c>
      <c r="G833" s="31">
        <f t="shared" si="60"/>
        <v>0.38380317460317465</v>
      </c>
      <c r="H833" s="108"/>
      <c r="I833" s="189"/>
      <c r="J833" s="164"/>
      <c r="K833" s="108"/>
      <c r="L833" s="105"/>
      <c r="M833" s="292"/>
    </row>
    <row r="834" spans="1:13" ht="18.95" customHeight="1">
      <c r="A834" s="108"/>
      <c r="B834" s="110"/>
      <c r="C834" s="27" t="s">
        <v>19</v>
      </c>
      <c r="D834" s="28">
        <v>0</v>
      </c>
      <c r="E834" s="30">
        <v>0</v>
      </c>
      <c r="F834" s="30">
        <v>0</v>
      </c>
      <c r="G834" s="31">
        <f t="shared" si="60"/>
        <v>0</v>
      </c>
      <c r="H834" s="108"/>
      <c r="I834" s="189"/>
      <c r="J834" s="164"/>
      <c r="K834" s="108"/>
      <c r="L834" s="105"/>
      <c r="M834" s="292"/>
    </row>
    <row r="835" spans="1:13" ht="18.95" customHeight="1">
      <c r="A835" s="108"/>
      <c r="B835" s="110"/>
      <c r="C835" s="27" t="s">
        <v>21</v>
      </c>
      <c r="D835" s="28">
        <v>0</v>
      </c>
      <c r="E835" s="30">
        <v>0</v>
      </c>
      <c r="F835" s="30">
        <v>0</v>
      </c>
      <c r="G835" s="31">
        <f t="shared" si="60"/>
        <v>0</v>
      </c>
      <c r="H835" s="108"/>
      <c r="I835" s="189"/>
      <c r="J835" s="164"/>
      <c r="K835" s="108"/>
      <c r="L835" s="105"/>
      <c r="M835" s="292"/>
    </row>
    <row r="836" spans="1:13" ht="18.95" customHeight="1">
      <c r="A836" s="108"/>
      <c r="B836" s="110"/>
      <c r="C836" s="27" t="s">
        <v>31</v>
      </c>
      <c r="D836" s="28">
        <v>0</v>
      </c>
      <c r="E836" s="30">
        <v>0</v>
      </c>
      <c r="F836" s="30">
        <v>0</v>
      </c>
      <c r="G836" s="31">
        <f t="shared" si="60"/>
        <v>0</v>
      </c>
      <c r="H836" s="108"/>
      <c r="I836" s="190"/>
      <c r="J836" s="164"/>
      <c r="K836" s="108"/>
      <c r="L836" s="106"/>
      <c r="M836" s="292"/>
    </row>
    <row r="837" spans="1:13" ht="18.95" customHeight="1">
      <c r="A837" s="194" t="s">
        <v>561</v>
      </c>
      <c r="B837" s="139" t="s">
        <v>562</v>
      </c>
      <c r="C837" s="48" t="s">
        <v>14</v>
      </c>
      <c r="D837" s="57">
        <f>SUM(D838:D841)</f>
        <v>220047.09999999998</v>
      </c>
      <c r="E837" s="50">
        <f>SUM(E838:E841)</f>
        <v>9912.1802699999989</v>
      </c>
      <c r="F837" s="50">
        <f>SUM(F838:F841)</f>
        <v>9912.1802699999989</v>
      </c>
      <c r="G837" s="51">
        <f t="shared" si="60"/>
        <v>4.5045720984280183E-2</v>
      </c>
      <c r="H837" s="134" t="s">
        <v>563</v>
      </c>
      <c r="I837" s="67" t="s">
        <v>15</v>
      </c>
      <c r="J837" s="67">
        <v>12</v>
      </c>
      <c r="K837" s="139" t="s">
        <v>564</v>
      </c>
      <c r="L837" s="181"/>
      <c r="M837" s="292">
        <v>805</v>
      </c>
    </row>
    <row r="838" spans="1:13" ht="18.95" customHeight="1">
      <c r="A838" s="195"/>
      <c r="B838" s="140"/>
      <c r="C838" s="48" t="s">
        <v>17</v>
      </c>
      <c r="D838" s="57">
        <f>D843+D848+D853+D858+D863+D868+D873+D878+D883+D888+D898+D893</f>
        <v>180092.79999999999</v>
      </c>
      <c r="E838" s="50">
        <f>E843+E848+E853+E858+E863+E868+E873+E878+E883+E888+E893+E898</f>
        <v>9912.1802699999989</v>
      </c>
      <c r="F838" s="50">
        <f>F843+F848+F853+F858+F863+F868+F873+F878+F883+F888+F893+F898</f>
        <v>9912.1802699999989</v>
      </c>
      <c r="G838" s="52">
        <f t="shared" si="60"/>
        <v>5.5039292353719856E-2</v>
      </c>
      <c r="H838" s="135"/>
      <c r="I838" s="67" t="s">
        <v>18</v>
      </c>
      <c r="J838" s="67">
        <f>COUNTIF($J$842:$J$901,"да")</f>
        <v>0</v>
      </c>
      <c r="K838" s="140"/>
      <c r="L838" s="181"/>
      <c r="M838" s="292"/>
    </row>
    <row r="839" spans="1:13" ht="18.95" customHeight="1">
      <c r="A839" s="195"/>
      <c r="B839" s="140"/>
      <c r="C839" s="48" t="s">
        <v>19</v>
      </c>
      <c r="D839" s="57">
        <f>D844+D849+D854+D859+D864+D869+D874+D879+D884+D889+D899+D894</f>
        <v>39954.300000000003</v>
      </c>
      <c r="E839" s="50">
        <f t="shared" ref="E839:F841" si="61">E844+E849+E854+E859+E864+E869+E874+E879+E884+E889+E894+E899</f>
        <v>0</v>
      </c>
      <c r="F839" s="50">
        <f t="shared" si="61"/>
        <v>0</v>
      </c>
      <c r="G839" s="52">
        <f t="shared" si="60"/>
        <v>0</v>
      </c>
      <c r="H839" s="135"/>
      <c r="I839" s="67" t="s">
        <v>20</v>
      </c>
      <c r="J839" s="67">
        <f>COUNTIF($J$842:$J$901,"частично")</f>
        <v>1</v>
      </c>
      <c r="K839" s="140"/>
      <c r="L839" s="181"/>
      <c r="M839" s="292"/>
    </row>
    <row r="840" spans="1:13" ht="18.95" customHeight="1">
      <c r="A840" s="195"/>
      <c r="B840" s="140"/>
      <c r="C840" s="48" t="s">
        <v>21</v>
      </c>
      <c r="D840" s="57">
        <v>0</v>
      </c>
      <c r="E840" s="50">
        <f t="shared" si="61"/>
        <v>0</v>
      </c>
      <c r="F840" s="50">
        <f t="shared" si="61"/>
        <v>0</v>
      </c>
      <c r="G840" s="52">
        <f t="shared" si="60"/>
        <v>0</v>
      </c>
      <c r="H840" s="135"/>
      <c r="I840" s="67" t="s">
        <v>22</v>
      </c>
      <c r="J840" s="67">
        <f>COUNTIF($J$842:$J$901,"нет")</f>
        <v>11</v>
      </c>
      <c r="K840" s="140"/>
      <c r="L840" s="181"/>
      <c r="M840" s="292"/>
    </row>
    <row r="841" spans="1:13" ht="18.95" customHeight="1">
      <c r="A841" s="195"/>
      <c r="B841" s="140"/>
      <c r="C841" s="48" t="s">
        <v>31</v>
      </c>
      <c r="D841" s="57">
        <f>D846+D851+D856+D861+D866+D871+D876+D881+D886+D891+D901+D896</f>
        <v>0</v>
      </c>
      <c r="E841" s="50">
        <f t="shared" si="61"/>
        <v>0</v>
      </c>
      <c r="F841" s="50">
        <f t="shared" si="61"/>
        <v>0</v>
      </c>
      <c r="G841" s="52">
        <f t="shared" si="60"/>
        <v>0</v>
      </c>
      <c r="H841" s="135"/>
      <c r="I841" s="67" t="s">
        <v>24</v>
      </c>
      <c r="J841" s="68">
        <f>IF(J837=0,0,(J838+J839*0.5)/J837)</f>
        <v>4.1666666666666664E-2</v>
      </c>
      <c r="K841" s="140"/>
      <c r="L841" s="181"/>
      <c r="M841" s="292"/>
    </row>
    <row r="842" spans="1:13" ht="18.95" customHeight="1">
      <c r="A842" s="194" t="s">
        <v>565</v>
      </c>
      <c r="B842" s="134" t="s">
        <v>566</v>
      </c>
      <c r="C842" s="48" t="s">
        <v>14</v>
      </c>
      <c r="D842" s="58">
        <f>SUM(D843:D846)</f>
        <v>18500</v>
      </c>
      <c r="E842" s="50">
        <f>SUM(E843:E846)</f>
        <v>0</v>
      </c>
      <c r="F842" s="50">
        <f>SUM(F843:F846)</f>
        <v>0</v>
      </c>
      <c r="G842" s="51">
        <f t="shared" si="60"/>
        <v>0</v>
      </c>
      <c r="H842" s="139" t="s">
        <v>567</v>
      </c>
      <c r="I842" s="182" t="s">
        <v>723</v>
      </c>
      <c r="J842" s="182" t="s">
        <v>105</v>
      </c>
      <c r="K842" s="134" t="s">
        <v>568</v>
      </c>
      <c r="L842" s="136" t="s">
        <v>720</v>
      </c>
      <c r="M842" s="292">
        <v>805</v>
      </c>
    </row>
    <row r="843" spans="1:13" ht="18.95" customHeight="1">
      <c r="A843" s="195"/>
      <c r="B843" s="135"/>
      <c r="C843" s="48" t="s">
        <v>17</v>
      </c>
      <c r="D843" s="57">
        <v>18500</v>
      </c>
      <c r="E843" s="50">
        <v>0</v>
      </c>
      <c r="F843" s="50">
        <v>0</v>
      </c>
      <c r="G843" s="52">
        <f t="shared" si="60"/>
        <v>0</v>
      </c>
      <c r="H843" s="140"/>
      <c r="I843" s="182"/>
      <c r="J843" s="182"/>
      <c r="K843" s="135"/>
      <c r="L843" s="137"/>
      <c r="M843" s="292"/>
    </row>
    <row r="844" spans="1:13" ht="18.95" customHeight="1">
      <c r="A844" s="195"/>
      <c r="B844" s="135"/>
      <c r="C844" s="48" t="s">
        <v>19</v>
      </c>
      <c r="D844" s="57">
        <v>0</v>
      </c>
      <c r="E844" s="50">
        <v>0</v>
      </c>
      <c r="F844" s="50">
        <v>0</v>
      </c>
      <c r="G844" s="52">
        <f t="shared" si="60"/>
        <v>0</v>
      </c>
      <c r="H844" s="140"/>
      <c r="I844" s="182"/>
      <c r="J844" s="182"/>
      <c r="K844" s="135"/>
      <c r="L844" s="137"/>
      <c r="M844" s="292"/>
    </row>
    <row r="845" spans="1:13" ht="18.95" customHeight="1">
      <c r="A845" s="195"/>
      <c r="B845" s="135"/>
      <c r="C845" s="48" t="s">
        <v>21</v>
      </c>
      <c r="D845" s="57">
        <v>0</v>
      </c>
      <c r="E845" s="50">
        <v>0</v>
      </c>
      <c r="F845" s="50">
        <v>0</v>
      </c>
      <c r="G845" s="52">
        <f t="shared" si="60"/>
        <v>0</v>
      </c>
      <c r="H845" s="140"/>
      <c r="I845" s="182"/>
      <c r="J845" s="182"/>
      <c r="K845" s="135"/>
      <c r="L845" s="137"/>
      <c r="M845" s="292"/>
    </row>
    <row r="846" spans="1:13" ht="18.95" customHeight="1">
      <c r="A846" s="195"/>
      <c r="B846" s="135"/>
      <c r="C846" s="48" t="s">
        <v>31</v>
      </c>
      <c r="D846" s="58">
        <f>D666</f>
        <v>0</v>
      </c>
      <c r="E846" s="50">
        <v>0</v>
      </c>
      <c r="F846" s="50">
        <v>0</v>
      </c>
      <c r="G846" s="52">
        <f t="shared" si="60"/>
        <v>0</v>
      </c>
      <c r="H846" s="140"/>
      <c r="I846" s="182"/>
      <c r="J846" s="182"/>
      <c r="K846" s="135"/>
      <c r="L846" s="138"/>
      <c r="M846" s="292"/>
    </row>
    <row r="847" spans="1:13" ht="18.95" customHeight="1">
      <c r="A847" s="194" t="s">
        <v>569</v>
      </c>
      <c r="B847" s="134" t="s">
        <v>570</v>
      </c>
      <c r="C847" s="48" t="s">
        <v>14</v>
      </c>
      <c r="D847" s="58">
        <f>SUM(D848:D851)</f>
        <v>4553.2</v>
      </c>
      <c r="E847" s="50">
        <f>SUM(E848:E851)</f>
        <v>739.86725000000001</v>
      </c>
      <c r="F847" s="50">
        <f>SUM(F848:F851)</f>
        <v>739.86725000000001</v>
      </c>
      <c r="G847" s="51">
        <f t="shared" ref="G847:G856" si="62">IF(D847&lt;&gt;0,F847/D847,0)</f>
        <v>0.1624939053852236</v>
      </c>
      <c r="H847" s="139" t="s">
        <v>550</v>
      </c>
      <c r="I847" s="182" t="s">
        <v>834</v>
      </c>
      <c r="J847" s="182" t="s">
        <v>105</v>
      </c>
      <c r="K847" s="134" t="s">
        <v>571</v>
      </c>
      <c r="L847" s="136" t="s">
        <v>720</v>
      </c>
      <c r="M847" s="292">
        <v>805</v>
      </c>
    </row>
    <row r="848" spans="1:13" ht="18.95" customHeight="1">
      <c r="A848" s="195"/>
      <c r="B848" s="135"/>
      <c r="C848" s="48" t="s">
        <v>17</v>
      </c>
      <c r="D848" s="57">
        <v>4553.2</v>
      </c>
      <c r="E848" s="50">
        <v>739.86725000000001</v>
      </c>
      <c r="F848" s="50">
        <v>739.86725000000001</v>
      </c>
      <c r="G848" s="52">
        <f t="shared" si="62"/>
        <v>0.1624939053852236</v>
      </c>
      <c r="H848" s="140"/>
      <c r="I848" s="182"/>
      <c r="J848" s="182"/>
      <c r="K848" s="135"/>
      <c r="L848" s="137"/>
      <c r="M848" s="292"/>
    </row>
    <row r="849" spans="1:13" ht="18.95" customHeight="1">
      <c r="A849" s="195"/>
      <c r="B849" s="135"/>
      <c r="C849" s="48" t="s">
        <v>19</v>
      </c>
      <c r="D849" s="58">
        <v>0</v>
      </c>
      <c r="E849" s="50">
        <v>0</v>
      </c>
      <c r="F849" s="50">
        <v>0</v>
      </c>
      <c r="G849" s="52">
        <f t="shared" si="62"/>
        <v>0</v>
      </c>
      <c r="H849" s="140"/>
      <c r="I849" s="182"/>
      <c r="J849" s="182"/>
      <c r="K849" s="135"/>
      <c r="L849" s="137"/>
      <c r="M849" s="292"/>
    </row>
    <row r="850" spans="1:13" ht="18.95" customHeight="1">
      <c r="A850" s="195"/>
      <c r="B850" s="135"/>
      <c r="C850" s="48" t="s">
        <v>21</v>
      </c>
      <c r="D850" s="58">
        <v>0</v>
      </c>
      <c r="E850" s="50">
        <v>0</v>
      </c>
      <c r="F850" s="50">
        <v>0</v>
      </c>
      <c r="G850" s="52">
        <f t="shared" si="62"/>
        <v>0</v>
      </c>
      <c r="H850" s="140"/>
      <c r="I850" s="182"/>
      <c r="J850" s="182"/>
      <c r="K850" s="135"/>
      <c r="L850" s="137"/>
      <c r="M850" s="292"/>
    </row>
    <row r="851" spans="1:13" ht="18.95" customHeight="1">
      <c r="A851" s="195"/>
      <c r="B851" s="135"/>
      <c r="C851" s="48" t="s">
        <v>31</v>
      </c>
      <c r="D851" s="58">
        <f>D671</f>
        <v>0</v>
      </c>
      <c r="E851" s="50">
        <v>0</v>
      </c>
      <c r="F851" s="50">
        <v>0</v>
      </c>
      <c r="G851" s="52">
        <f t="shared" si="62"/>
        <v>0</v>
      </c>
      <c r="H851" s="140"/>
      <c r="I851" s="182"/>
      <c r="J851" s="182"/>
      <c r="K851" s="135"/>
      <c r="L851" s="138"/>
      <c r="M851" s="292"/>
    </row>
    <row r="852" spans="1:13" ht="18.95" customHeight="1">
      <c r="A852" s="194" t="s">
        <v>572</v>
      </c>
      <c r="B852" s="134" t="s">
        <v>573</v>
      </c>
      <c r="C852" s="48" t="s">
        <v>14</v>
      </c>
      <c r="D852" s="58">
        <f>SUM(D853:D856)</f>
        <v>100951.40000000001</v>
      </c>
      <c r="E852" s="50">
        <f>SUM(E853:E856)</f>
        <v>0</v>
      </c>
      <c r="F852" s="50">
        <f>SUM(F853:F856)</f>
        <v>0</v>
      </c>
      <c r="G852" s="51">
        <f t="shared" si="62"/>
        <v>0</v>
      </c>
      <c r="H852" s="139" t="s">
        <v>574</v>
      </c>
      <c r="I852" s="196" t="s">
        <v>724</v>
      </c>
      <c r="J852" s="182" t="s">
        <v>105</v>
      </c>
      <c r="K852" s="134" t="s">
        <v>571</v>
      </c>
      <c r="L852" s="136" t="s">
        <v>720</v>
      </c>
      <c r="M852" s="292">
        <v>805</v>
      </c>
    </row>
    <row r="853" spans="1:13" ht="18.95" customHeight="1">
      <c r="A853" s="195"/>
      <c r="B853" s="135"/>
      <c r="C853" s="48" t="s">
        <v>17</v>
      </c>
      <c r="D853" s="57">
        <v>79377.100000000006</v>
      </c>
      <c r="E853" s="50">
        <v>0</v>
      </c>
      <c r="F853" s="50">
        <v>0</v>
      </c>
      <c r="G853" s="52">
        <f t="shared" si="62"/>
        <v>0</v>
      </c>
      <c r="H853" s="140"/>
      <c r="I853" s="197"/>
      <c r="J853" s="182"/>
      <c r="K853" s="135"/>
      <c r="L853" s="137"/>
      <c r="M853" s="292"/>
    </row>
    <row r="854" spans="1:13" ht="18.95" customHeight="1">
      <c r="A854" s="195"/>
      <c r="B854" s="135"/>
      <c r="C854" s="48" t="s">
        <v>19</v>
      </c>
      <c r="D854" s="57">
        <v>21574.3</v>
      </c>
      <c r="E854" s="50">
        <v>0</v>
      </c>
      <c r="F854" s="50">
        <v>0</v>
      </c>
      <c r="G854" s="52">
        <f t="shared" si="62"/>
        <v>0</v>
      </c>
      <c r="H854" s="140"/>
      <c r="I854" s="197"/>
      <c r="J854" s="182"/>
      <c r="K854" s="135"/>
      <c r="L854" s="137"/>
      <c r="M854" s="292"/>
    </row>
    <row r="855" spans="1:13" ht="18.95" customHeight="1">
      <c r="A855" s="195"/>
      <c r="B855" s="135"/>
      <c r="C855" s="48" t="s">
        <v>21</v>
      </c>
      <c r="D855" s="57">
        <v>0</v>
      </c>
      <c r="E855" s="50">
        <v>0</v>
      </c>
      <c r="F855" s="50">
        <v>0</v>
      </c>
      <c r="G855" s="52">
        <f t="shared" si="62"/>
        <v>0</v>
      </c>
      <c r="H855" s="140"/>
      <c r="I855" s="197"/>
      <c r="J855" s="182"/>
      <c r="K855" s="135"/>
      <c r="L855" s="137"/>
      <c r="M855" s="292"/>
    </row>
    <row r="856" spans="1:13" ht="18.95" customHeight="1">
      <c r="A856" s="195"/>
      <c r="B856" s="135"/>
      <c r="C856" s="48" t="s">
        <v>31</v>
      </c>
      <c r="D856" s="58">
        <f>D676</f>
        <v>0</v>
      </c>
      <c r="E856" s="50">
        <v>0</v>
      </c>
      <c r="F856" s="50">
        <v>0</v>
      </c>
      <c r="G856" s="52">
        <f t="shared" si="62"/>
        <v>0</v>
      </c>
      <c r="H856" s="140"/>
      <c r="I856" s="198"/>
      <c r="J856" s="182"/>
      <c r="K856" s="135"/>
      <c r="L856" s="138"/>
      <c r="M856" s="292"/>
    </row>
    <row r="857" spans="1:13" ht="18.95" customHeight="1">
      <c r="A857" s="194" t="s">
        <v>575</v>
      </c>
      <c r="B857" s="134" t="s">
        <v>576</v>
      </c>
      <c r="C857" s="48" t="s">
        <v>14</v>
      </c>
      <c r="D857" s="58">
        <f>SUM(D858:D861)</f>
        <v>19042.5</v>
      </c>
      <c r="E857" s="50">
        <f>SUM(E858:E861)</f>
        <v>9172.3130199999996</v>
      </c>
      <c r="F857" s="50">
        <f>SUM(F858:F861)</f>
        <v>9172.3130199999996</v>
      </c>
      <c r="G857" s="51">
        <f t="shared" ref="G857:G871" si="63">IF(D857&lt;&gt;0,F857/D857,0)</f>
        <v>0.48167588394380989</v>
      </c>
      <c r="H857" s="139" t="s">
        <v>553</v>
      </c>
      <c r="I857" s="196" t="s">
        <v>725</v>
      </c>
      <c r="J857" s="199" t="s">
        <v>701</v>
      </c>
      <c r="K857" s="134" t="s">
        <v>554</v>
      </c>
      <c r="L857" s="136" t="s">
        <v>717</v>
      </c>
      <c r="M857" s="292">
        <v>805</v>
      </c>
    </row>
    <row r="858" spans="1:13" ht="18.95" customHeight="1">
      <c r="A858" s="195"/>
      <c r="B858" s="135"/>
      <c r="C858" s="48" t="s">
        <v>17</v>
      </c>
      <c r="D858" s="57">
        <f>17000+2042.5</f>
        <v>19042.5</v>
      </c>
      <c r="E858" s="50">
        <v>9172.3130199999996</v>
      </c>
      <c r="F858" s="50">
        <v>9172.3130199999996</v>
      </c>
      <c r="G858" s="52">
        <f t="shared" si="63"/>
        <v>0.48167588394380989</v>
      </c>
      <c r="H858" s="140"/>
      <c r="I858" s="197"/>
      <c r="J858" s="200"/>
      <c r="K858" s="135"/>
      <c r="L858" s="137"/>
      <c r="M858" s="292"/>
    </row>
    <row r="859" spans="1:13" ht="18.95" customHeight="1">
      <c r="A859" s="195"/>
      <c r="B859" s="135"/>
      <c r="C859" s="48" t="s">
        <v>19</v>
      </c>
      <c r="D859" s="57">
        <v>0</v>
      </c>
      <c r="E859" s="50">
        <v>0</v>
      </c>
      <c r="F859" s="50">
        <v>0</v>
      </c>
      <c r="G859" s="52">
        <f t="shared" si="63"/>
        <v>0</v>
      </c>
      <c r="H859" s="140"/>
      <c r="I859" s="197"/>
      <c r="J859" s="200"/>
      <c r="K859" s="135"/>
      <c r="L859" s="137"/>
      <c r="M859" s="292"/>
    </row>
    <row r="860" spans="1:13" ht="18.95" customHeight="1">
      <c r="A860" s="195"/>
      <c r="B860" s="135"/>
      <c r="C860" s="48" t="s">
        <v>21</v>
      </c>
      <c r="D860" s="57">
        <v>0</v>
      </c>
      <c r="E860" s="50">
        <v>0</v>
      </c>
      <c r="F860" s="50">
        <v>0</v>
      </c>
      <c r="G860" s="52">
        <f t="shared" si="63"/>
        <v>0</v>
      </c>
      <c r="H860" s="140"/>
      <c r="I860" s="197"/>
      <c r="J860" s="200"/>
      <c r="K860" s="135"/>
      <c r="L860" s="137"/>
      <c r="M860" s="292"/>
    </row>
    <row r="861" spans="1:13" ht="18.95" customHeight="1">
      <c r="A861" s="195"/>
      <c r="B861" s="135"/>
      <c r="C861" s="48" t="s">
        <v>31</v>
      </c>
      <c r="D861" s="58">
        <f>D681</f>
        <v>0</v>
      </c>
      <c r="E861" s="50">
        <v>0</v>
      </c>
      <c r="F861" s="50">
        <v>0</v>
      </c>
      <c r="G861" s="52">
        <f t="shared" si="63"/>
        <v>0</v>
      </c>
      <c r="H861" s="140"/>
      <c r="I861" s="198"/>
      <c r="J861" s="201"/>
      <c r="K861" s="135"/>
      <c r="L861" s="138"/>
      <c r="M861" s="292"/>
    </row>
    <row r="862" spans="1:13" ht="18.95" customHeight="1">
      <c r="A862" s="194" t="s">
        <v>577</v>
      </c>
      <c r="B862" s="134" t="s">
        <v>578</v>
      </c>
      <c r="C862" s="48" t="s">
        <v>14</v>
      </c>
      <c r="D862" s="58">
        <f>SUM(D863:D866)</f>
        <v>10000</v>
      </c>
      <c r="E862" s="50">
        <f>SUM(E863:E866)</f>
        <v>0</v>
      </c>
      <c r="F862" s="50">
        <f>SUM(F863:F866)</f>
        <v>0</v>
      </c>
      <c r="G862" s="51">
        <f t="shared" si="63"/>
        <v>0</v>
      </c>
      <c r="H862" s="139" t="s">
        <v>579</v>
      </c>
      <c r="I862" s="196" t="s">
        <v>726</v>
      </c>
      <c r="J862" s="199" t="s">
        <v>105</v>
      </c>
      <c r="K862" s="134" t="s">
        <v>580</v>
      </c>
      <c r="L862" s="136" t="s">
        <v>720</v>
      </c>
      <c r="M862" s="292">
        <v>805</v>
      </c>
    </row>
    <row r="863" spans="1:13" ht="18.95" customHeight="1">
      <c r="A863" s="195"/>
      <c r="B863" s="135"/>
      <c r="C863" s="48" t="s">
        <v>17</v>
      </c>
      <c r="D863" s="58">
        <v>8120</v>
      </c>
      <c r="E863" s="50">
        <v>0</v>
      </c>
      <c r="F863" s="50">
        <v>0</v>
      </c>
      <c r="G863" s="52">
        <f t="shared" si="63"/>
        <v>0</v>
      </c>
      <c r="H863" s="140"/>
      <c r="I863" s="197"/>
      <c r="J863" s="200"/>
      <c r="K863" s="135"/>
      <c r="L863" s="137"/>
      <c r="M863" s="292"/>
    </row>
    <row r="864" spans="1:13" ht="18.95" customHeight="1">
      <c r="A864" s="195"/>
      <c r="B864" s="135"/>
      <c r="C864" s="48" t="s">
        <v>19</v>
      </c>
      <c r="D864" s="58">
        <v>1880</v>
      </c>
      <c r="E864" s="50">
        <v>0</v>
      </c>
      <c r="F864" s="50">
        <v>0</v>
      </c>
      <c r="G864" s="52">
        <f t="shared" si="63"/>
        <v>0</v>
      </c>
      <c r="H864" s="140"/>
      <c r="I864" s="197"/>
      <c r="J864" s="200"/>
      <c r="K864" s="135"/>
      <c r="L864" s="137"/>
      <c r="M864" s="292"/>
    </row>
    <row r="865" spans="1:13" ht="18.95" customHeight="1">
      <c r="A865" s="195"/>
      <c r="B865" s="135"/>
      <c r="C865" s="48" t="s">
        <v>21</v>
      </c>
      <c r="D865" s="58">
        <v>0</v>
      </c>
      <c r="E865" s="50">
        <v>0</v>
      </c>
      <c r="F865" s="50">
        <v>0</v>
      </c>
      <c r="G865" s="52">
        <f t="shared" si="63"/>
        <v>0</v>
      </c>
      <c r="H865" s="140"/>
      <c r="I865" s="197"/>
      <c r="J865" s="200"/>
      <c r="K865" s="135"/>
      <c r="L865" s="137"/>
      <c r="M865" s="292"/>
    </row>
    <row r="866" spans="1:13" ht="18.95" customHeight="1">
      <c r="A866" s="195"/>
      <c r="B866" s="135"/>
      <c r="C866" s="48" t="s">
        <v>31</v>
      </c>
      <c r="D866" s="58">
        <f>D686</f>
        <v>0</v>
      </c>
      <c r="E866" s="50">
        <v>0</v>
      </c>
      <c r="F866" s="50">
        <v>0</v>
      </c>
      <c r="G866" s="52">
        <f t="shared" si="63"/>
        <v>0</v>
      </c>
      <c r="H866" s="140"/>
      <c r="I866" s="198"/>
      <c r="J866" s="201"/>
      <c r="K866" s="135"/>
      <c r="L866" s="138"/>
      <c r="M866" s="292"/>
    </row>
    <row r="867" spans="1:13" ht="18.95" customHeight="1">
      <c r="A867" s="194" t="s">
        <v>581</v>
      </c>
      <c r="B867" s="134" t="s">
        <v>582</v>
      </c>
      <c r="C867" s="48" t="s">
        <v>14</v>
      </c>
      <c r="D867" s="58">
        <f>SUM(D868:D871)</f>
        <v>4000</v>
      </c>
      <c r="E867" s="50">
        <f>SUM(E868:E871)</f>
        <v>0</v>
      </c>
      <c r="F867" s="50">
        <f>SUM(F868:F871)</f>
        <v>0</v>
      </c>
      <c r="G867" s="51">
        <f t="shared" si="63"/>
        <v>0</v>
      </c>
      <c r="H867" s="139" t="s">
        <v>583</v>
      </c>
      <c r="I867" s="143" t="s">
        <v>727</v>
      </c>
      <c r="J867" s="199" t="s">
        <v>105</v>
      </c>
      <c r="K867" s="134" t="s">
        <v>584</v>
      </c>
      <c r="L867" s="136" t="s">
        <v>720</v>
      </c>
      <c r="M867" s="292">
        <v>805</v>
      </c>
    </row>
    <row r="868" spans="1:13" ht="18.95" customHeight="1">
      <c r="A868" s="195"/>
      <c r="B868" s="135"/>
      <c r="C868" s="48" t="s">
        <v>17</v>
      </c>
      <c r="D868" s="58">
        <v>4000</v>
      </c>
      <c r="E868" s="50">
        <v>0</v>
      </c>
      <c r="F868" s="50">
        <v>0</v>
      </c>
      <c r="G868" s="52">
        <f t="shared" si="63"/>
        <v>0</v>
      </c>
      <c r="H868" s="140"/>
      <c r="I868" s="144"/>
      <c r="J868" s="200"/>
      <c r="K868" s="135"/>
      <c r="L868" s="137"/>
      <c r="M868" s="292"/>
    </row>
    <row r="869" spans="1:13" ht="18.95" customHeight="1">
      <c r="A869" s="195"/>
      <c r="B869" s="135"/>
      <c r="C869" s="48" t="s">
        <v>19</v>
      </c>
      <c r="D869" s="58">
        <v>0</v>
      </c>
      <c r="E869" s="50">
        <v>0</v>
      </c>
      <c r="F869" s="50">
        <v>0</v>
      </c>
      <c r="G869" s="52">
        <f t="shared" si="63"/>
        <v>0</v>
      </c>
      <c r="H869" s="140"/>
      <c r="I869" s="144"/>
      <c r="J869" s="200"/>
      <c r="K869" s="135"/>
      <c r="L869" s="137"/>
      <c r="M869" s="292"/>
    </row>
    <row r="870" spans="1:13" ht="18.95" customHeight="1">
      <c r="A870" s="195"/>
      <c r="B870" s="135"/>
      <c r="C870" s="48" t="s">
        <v>21</v>
      </c>
      <c r="D870" s="58">
        <v>0</v>
      </c>
      <c r="E870" s="50">
        <v>0</v>
      </c>
      <c r="F870" s="50">
        <v>0</v>
      </c>
      <c r="G870" s="52">
        <f t="shared" si="63"/>
        <v>0</v>
      </c>
      <c r="H870" s="140"/>
      <c r="I870" s="144"/>
      <c r="J870" s="200"/>
      <c r="K870" s="135"/>
      <c r="L870" s="137"/>
      <c r="M870" s="292"/>
    </row>
    <row r="871" spans="1:13" ht="18.95" customHeight="1">
      <c r="A871" s="195"/>
      <c r="B871" s="135"/>
      <c r="C871" s="48" t="s">
        <v>31</v>
      </c>
      <c r="D871" s="58">
        <f>D691</f>
        <v>0</v>
      </c>
      <c r="E871" s="50">
        <v>0</v>
      </c>
      <c r="F871" s="50">
        <v>0</v>
      </c>
      <c r="G871" s="52">
        <f t="shared" si="63"/>
        <v>0</v>
      </c>
      <c r="H871" s="140"/>
      <c r="I871" s="145"/>
      <c r="J871" s="201"/>
      <c r="K871" s="135"/>
      <c r="L871" s="138"/>
      <c r="M871" s="292"/>
    </row>
    <row r="872" spans="1:13" ht="18.95" customHeight="1">
      <c r="A872" s="194" t="s">
        <v>585</v>
      </c>
      <c r="B872" s="134" t="s">
        <v>586</v>
      </c>
      <c r="C872" s="48" t="s">
        <v>14</v>
      </c>
      <c r="D872" s="58">
        <f>SUM(D873:D876)</f>
        <v>5000</v>
      </c>
      <c r="E872" s="50">
        <f>SUM(E873:E876)</f>
        <v>0</v>
      </c>
      <c r="F872" s="50">
        <f>SUM(F873:F876)</f>
        <v>0</v>
      </c>
      <c r="G872" s="51">
        <f t="shared" ref="G872:G935" si="64">IF(D872&lt;&gt;0,F872/D872,0)</f>
        <v>0</v>
      </c>
      <c r="H872" s="139" t="s">
        <v>587</v>
      </c>
      <c r="I872" s="196" t="s">
        <v>728</v>
      </c>
      <c r="J872" s="199" t="s">
        <v>105</v>
      </c>
      <c r="K872" s="134" t="s">
        <v>584</v>
      </c>
      <c r="L872" s="136" t="s">
        <v>720</v>
      </c>
      <c r="M872" s="292">
        <v>805</v>
      </c>
    </row>
    <row r="873" spans="1:13" ht="18.95" customHeight="1">
      <c r="A873" s="195"/>
      <c r="B873" s="135"/>
      <c r="C873" s="48" t="s">
        <v>17</v>
      </c>
      <c r="D873" s="57">
        <v>5000</v>
      </c>
      <c r="E873" s="50">
        <v>0</v>
      </c>
      <c r="F873" s="50">
        <v>0</v>
      </c>
      <c r="G873" s="52">
        <f t="shared" si="64"/>
        <v>0</v>
      </c>
      <c r="H873" s="140"/>
      <c r="I873" s="197"/>
      <c r="J873" s="200"/>
      <c r="K873" s="135"/>
      <c r="L873" s="137"/>
      <c r="M873" s="292"/>
    </row>
    <row r="874" spans="1:13" ht="18.95" customHeight="1">
      <c r="A874" s="195"/>
      <c r="B874" s="135"/>
      <c r="C874" s="48" t="s">
        <v>19</v>
      </c>
      <c r="D874" s="57">
        <v>0</v>
      </c>
      <c r="E874" s="50">
        <v>0</v>
      </c>
      <c r="F874" s="50">
        <v>0</v>
      </c>
      <c r="G874" s="52">
        <f t="shared" si="64"/>
        <v>0</v>
      </c>
      <c r="H874" s="140"/>
      <c r="I874" s="197"/>
      <c r="J874" s="200"/>
      <c r="K874" s="135"/>
      <c r="L874" s="137"/>
      <c r="M874" s="292"/>
    </row>
    <row r="875" spans="1:13" ht="18.95" customHeight="1">
      <c r="A875" s="195"/>
      <c r="B875" s="135"/>
      <c r="C875" s="48" t="s">
        <v>21</v>
      </c>
      <c r="D875" s="57">
        <v>0</v>
      </c>
      <c r="E875" s="50">
        <v>0</v>
      </c>
      <c r="F875" s="50">
        <v>0</v>
      </c>
      <c r="G875" s="52">
        <f t="shared" si="64"/>
        <v>0</v>
      </c>
      <c r="H875" s="140"/>
      <c r="I875" s="197"/>
      <c r="J875" s="200"/>
      <c r="K875" s="135"/>
      <c r="L875" s="137"/>
      <c r="M875" s="292"/>
    </row>
    <row r="876" spans="1:13" ht="18.95" customHeight="1">
      <c r="A876" s="195"/>
      <c r="B876" s="135"/>
      <c r="C876" s="48" t="s">
        <v>31</v>
      </c>
      <c r="D876" s="58">
        <f>D696</f>
        <v>0</v>
      </c>
      <c r="E876" s="50">
        <v>0</v>
      </c>
      <c r="F876" s="50">
        <v>0</v>
      </c>
      <c r="G876" s="52">
        <f t="shared" si="64"/>
        <v>0</v>
      </c>
      <c r="H876" s="140"/>
      <c r="I876" s="198"/>
      <c r="J876" s="201"/>
      <c r="K876" s="202"/>
      <c r="L876" s="138"/>
      <c r="M876" s="292"/>
    </row>
    <row r="877" spans="1:13" ht="18.95" customHeight="1">
      <c r="A877" s="194" t="s">
        <v>588</v>
      </c>
      <c r="B877" s="134" t="s">
        <v>589</v>
      </c>
      <c r="C877" s="48" t="s">
        <v>14</v>
      </c>
      <c r="D877" s="58">
        <f>SUM(D878:D881)</f>
        <v>13000</v>
      </c>
      <c r="E877" s="50">
        <f>SUM(E878:E881)</f>
        <v>0</v>
      </c>
      <c r="F877" s="50">
        <f>SUM(F878:F881)</f>
        <v>0</v>
      </c>
      <c r="G877" s="51">
        <f t="shared" si="64"/>
        <v>0</v>
      </c>
      <c r="H877" s="139" t="s">
        <v>590</v>
      </c>
      <c r="I877" s="196" t="s">
        <v>729</v>
      </c>
      <c r="J877" s="199" t="s">
        <v>105</v>
      </c>
      <c r="K877" s="134" t="s">
        <v>584</v>
      </c>
      <c r="L877" s="136" t="s">
        <v>720</v>
      </c>
      <c r="M877" s="292">
        <v>805</v>
      </c>
    </row>
    <row r="878" spans="1:13" ht="18.95" customHeight="1">
      <c r="A878" s="195"/>
      <c r="B878" s="135"/>
      <c r="C878" s="48" t="s">
        <v>17</v>
      </c>
      <c r="D878" s="57">
        <v>780</v>
      </c>
      <c r="E878" s="50">
        <v>0</v>
      </c>
      <c r="F878" s="50">
        <v>0</v>
      </c>
      <c r="G878" s="52">
        <f t="shared" si="64"/>
        <v>0</v>
      </c>
      <c r="H878" s="140"/>
      <c r="I878" s="197"/>
      <c r="J878" s="200"/>
      <c r="K878" s="135"/>
      <c r="L878" s="137"/>
      <c r="M878" s="292"/>
    </row>
    <row r="879" spans="1:13" ht="18.95" customHeight="1">
      <c r="A879" s="195"/>
      <c r="B879" s="135"/>
      <c r="C879" s="48" t="s">
        <v>19</v>
      </c>
      <c r="D879" s="57">
        <v>12220</v>
      </c>
      <c r="E879" s="50">
        <v>0</v>
      </c>
      <c r="F879" s="50">
        <v>0</v>
      </c>
      <c r="G879" s="52">
        <f t="shared" si="64"/>
        <v>0</v>
      </c>
      <c r="H879" s="140"/>
      <c r="I879" s="197"/>
      <c r="J879" s="200"/>
      <c r="K879" s="135"/>
      <c r="L879" s="137"/>
      <c r="M879" s="292"/>
    </row>
    <row r="880" spans="1:13" ht="18.95" customHeight="1">
      <c r="A880" s="195"/>
      <c r="B880" s="135"/>
      <c r="C880" s="48" t="s">
        <v>21</v>
      </c>
      <c r="D880" s="57">
        <v>0</v>
      </c>
      <c r="E880" s="50">
        <v>0</v>
      </c>
      <c r="F880" s="50">
        <v>0</v>
      </c>
      <c r="G880" s="52">
        <f t="shared" si="64"/>
        <v>0</v>
      </c>
      <c r="H880" s="140"/>
      <c r="I880" s="197"/>
      <c r="J880" s="200"/>
      <c r="K880" s="135"/>
      <c r="L880" s="137"/>
      <c r="M880" s="292"/>
    </row>
    <row r="881" spans="1:13" ht="18.95" customHeight="1">
      <c r="A881" s="195"/>
      <c r="B881" s="135"/>
      <c r="C881" s="48" t="s">
        <v>31</v>
      </c>
      <c r="D881" s="58">
        <f>D701</f>
        <v>0</v>
      </c>
      <c r="E881" s="50">
        <v>0</v>
      </c>
      <c r="F881" s="50">
        <v>0</v>
      </c>
      <c r="G881" s="52">
        <f t="shared" si="64"/>
        <v>0</v>
      </c>
      <c r="H881" s="140"/>
      <c r="I881" s="198"/>
      <c r="J881" s="201"/>
      <c r="K881" s="135"/>
      <c r="L881" s="138"/>
      <c r="M881" s="292"/>
    </row>
    <row r="882" spans="1:13" ht="18.95" customHeight="1">
      <c r="A882" s="194" t="s">
        <v>591</v>
      </c>
      <c r="B882" s="134" t="s">
        <v>592</v>
      </c>
      <c r="C882" s="48" t="s">
        <v>14</v>
      </c>
      <c r="D882" s="58">
        <f>SUM(D883:D886)</f>
        <v>18000</v>
      </c>
      <c r="E882" s="50">
        <f>SUM(E883:E886)</f>
        <v>0</v>
      </c>
      <c r="F882" s="50">
        <f>SUM(F883:F886)</f>
        <v>0</v>
      </c>
      <c r="G882" s="51">
        <f t="shared" si="64"/>
        <v>0</v>
      </c>
      <c r="H882" s="139" t="s">
        <v>593</v>
      </c>
      <c r="I882" s="196" t="s">
        <v>730</v>
      </c>
      <c r="J882" s="199" t="s">
        <v>105</v>
      </c>
      <c r="K882" s="134" t="s">
        <v>584</v>
      </c>
      <c r="L882" s="136" t="s">
        <v>720</v>
      </c>
      <c r="M882" s="292">
        <v>805</v>
      </c>
    </row>
    <row r="883" spans="1:13" ht="18.95" customHeight="1">
      <c r="A883" s="195"/>
      <c r="B883" s="135"/>
      <c r="C883" s="48" t="s">
        <v>17</v>
      </c>
      <c r="D883" s="57">
        <v>13720</v>
      </c>
      <c r="E883" s="50">
        <v>0</v>
      </c>
      <c r="F883" s="50">
        <v>0</v>
      </c>
      <c r="G883" s="52">
        <f t="shared" si="64"/>
        <v>0</v>
      </c>
      <c r="H883" s="140"/>
      <c r="I883" s="197"/>
      <c r="J883" s="200"/>
      <c r="K883" s="135"/>
      <c r="L883" s="137"/>
      <c r="M883" s="292"/>
    </row>
    <row r="884" spans="1:13" ht="18.95" customHeight="1">
      <c r="A884" s="195"/>
      <c r="B884" s="135"/>
      <c r="C884" s="48" t="s">
        <v>19</v>
      </c>
      <c r="D884" s="57">
        <v>4280</v>
      </c>
      <c r="E884" s="50">
        <v>0</v>
      </c>
      <c r="F884" s="50">
        <v>0</v>
      </c>
      <c r="G884" s="52">
        <f t="shared" si="64"/>
        <v>0</v>
      </c>
      <c r="H884" s="140"/>
      <c r="I884" s="197"/>
      <c r="J884" s="200"/>
      <c r="K884" s="135"/>
      <c r="L884" s="137"/>
      <c r="M884" s="292"/>
    </row>
    <row r="885" spans="1:13" ht="18.95" customHeight="1">
      <c r="A885" s="195"/>
      <c r="B885" s="135"/>
      <c r="C885" s="48" t="s">
        <v>21</v>
      </c>
      <c r="D885" s="57">
        <v>0</v>
      </c>
      <c r="E885" s="50">
        <v>0</v>
      </c>
      <c r="F885" s="50">
        <v>0</v>
      </c>
      <c r="G885" s="52">
        <f t="shared" si="64"/>
        <v>0</v>
      </c>
      <c r="H885" s="140"/>
      <c r="I885" s="197"/>
      <c r="J885" s="200"/>
      <c r="K885" s="135"/>
      <c r="L885" s="137"/>
      <c r="M885" s="292"/>
    </row>
    <row r="886" spans="1:13" ht="18.95" customHeight="1">
      <c r="A886" s="195"/>
      <c r="B886" s="135"/>
      <c r="C886" s="48" t="s">
        <v>31</v>
      </c>
      <c r="D886" s="58">
        <f>D706</f>
        <v>0</v>
      </c>
      <c r="E886" s="50">
        <v>0</v>
      </c>
      <c r="F886" s="50">
        <v>0</v>
      </c>
      <c r="G886" s="52">
        <f t="shared" si="64"/>
        <v>0</v>
      </c>
      <c r="H886" s="140"/>
      <c r="I886" s="198"/>
      <c r="J886" s="201"/>
      <c r="K886" s="135"/>
      <c r="L886" s="138"/>
      <c r="M886" s="292"/>
    </row>
    <row r="887" spans="1:13" ht="18.95" customHeight="1">
      <c r="A887" s="194" t="s">
        <v>594</v>
      </c>
      <c r="B887" s="134" t="s">
        <v>595</v>
      </c>
      <c r="C887" s="48" t="s">
        <v>14</v>
      </c>
      <c r="D887" s="58">
        <f>SUM(D888:D891)</f>
        <v>5000</v>
      </c>
      <c r="E887" s="50">
        <f>SUM(E888:E891)</f>
        <v>0</v>
      </c>
      <c r="F887" s="50">
        <f>SUM(F888:F891)</f>
        <v>0</v>
      </c>
      <c r="G887" s="51">
        <f t="shared" si="64"/>
        <v>0</v>
      </c>
      <c r="H887" s="139" t="s">
        <v>596</v>
      </c>
      <c r="I887" s="196" t="s">
        <v>731</v>
      </c>
      <c r="J887" s="199" t="s">
        <v>105</v>
      </c>
      <c r="K887" s="134" t="s">
        <v>584</v>
      </c>
      <c r="L887" s="136" t="s">
        <v>720</v>
      </c>
      <c r="M887" s="292">
        <v>805</v>
      </c>
    </row>
    <row r="888" spans="1:13" ht="18.95" customHeight="1">
      <c r="A888" s="195"/>
      <c r="B888" s="135"/>
      <c r="C888" s="48" t="s">
        <v>17</v>
      </c>
      <c r="D888" s="57">
        <v>5000</v>
      </c>
      <c r="E888" s="50">
        <v>0</v>
      </c>
      <c r="F888" s="50">
        <v>0</v>
      </c>
      <c r="G888" s="52">
        <f t="shared" si="64"/>
        <v>0</v>
      </c>
      <c r="H888" s="140"/>
      <c r="I888" s="197"/>
      <c r="J888" s="200"/>
      <c r="K888" s="135"/>
      <c r="L888" s="137"/>
      <c r="M888" s="292"/>
    </row>
    <row r="889" spans="1:13" ht="18.95" customHeight="1">
      <c r="A889" s="195"/>
      <c r="B889" s="135"/>
      <c r="C889" s="48" t="s">
        <v>19</v>
      </c>
      <c r="D889" s="57">
        <v>0</v>
      </c>
      <c r="E889" s="50">
        <v>0</v>
      </c>
      <c r="F889" s="50">
        <v>0</v>
      </c>
      <c r="G889" s="52">
        <f t="shared" si="64"/>
        <v>0</v>
      </c>
      <c r="H889" s="140"/>
      <c r="I889" s="197"/>
      <c r="J889" s="200"/>
      <c r="K889" s="135"/>
      <c r="L889" s="137"/>
      <c r="M889" s="292"/>
    </row>
    <row r="890" spans="1:13" ht="18.95" customHeight="1">
      <c r="A890" s="195"/>
      <c r="B890" s="135"/>
      <c r="C890" s="48" t="s">
        <v>21</v>
      </c>
      <c r="D890" s="57">
        <v>0</v>
      </c>
      <c r="E890" s="50">
        <v>0</v>
      </c>
      <c r="F890" s="50">
        <v>0</v>
      </c>
      <c r="G890" s="52">
        <f t="shared" si="64"/>
        <v>0</v>
      </c>
      <c r="H890" s="140"/>
      <c r="I890" s="197"/>
      <c r="J890" s="200"/>
      <c r="K890" s="135"/>
      <c r="L890" s="137"/>
      <c r="M890" s="292"/>
    </row>
    <row r="891" spans="1:13" ht="18.95" customHeight="1">
      <c r="A891" s="195"/>
      <c r="B891" s="135"/>
      <c r="C891" s="48" t="s">
        <v>31</v>
      </c>
      <c r="D891" s="58">
        <f>D711</f>
        <v>0</v>
      </c>
      <c r="E891" s="50">
        <v>0</v>
      </c>
      <c r="F891" s="50">
        <v>0</v>
      </c>
      <c r="G891" s="52">
        <f t="shared" si="64"/>
        <v>0</v>
      </c>
      <c r="H891" s="140"/>
      <c r="I891" s="198"/>
      <c r="J891" s="201"/>
      <c r="K891" s="135"/>
      <c r="L891" s="138"/>
      <c r="M891" s="292"/>
    </row>
    <row r="892" spans="1:13" ht="18.95" customHeight="1">
      <c r="A892" s="194" t="s">
        <v>597</v>
      </c>
      <c r="B892" s="134" t="s">
        <v>598</v>
      </c>
      <c r="C892" s="48" t="s">
        <v>14</v>
      </c>
      <c r="D892" s="58">
        <f>SUM(D893:D896)</f>
        <v>12000</v>
      </c>
      <c r="E892" s="50">
        <f>SUM(E893:E896)</f>
        <v>0</v>
      </c>
      <c r="F892" s="50">
        <f>SUM(F893:F896)</f>
        <v>0</v>
      </c>
      <c r="G892" s="51">
        <f t="shared" si="64"/>
        <v>0</v>
      </c>
      <c r="H892" s="139" t="s">
        <v>599</v>
      </c>
      <c r="I892" s="196" t="s">
        <v>732</v>
      </c>
      <c r="J892" s="199" t="s">
        <v>105</v>
      </c>
      <c r="K892" s="134" t="s">
        <v>584</v>
      </c>
      <c r="L892" s="136" t="s">
        <v>720</v>
      </c>
      <c r="M892" s="292">
        <v>805</v>
      </c>
    </row>
    <row r="893" spans="1:13" ht="18.95" customHeight="1">
      <c r="A893" s="195"/>
      <c r="B893" s="135"/>
      <c r="C893" s="48" t="s">
        <v>17</v>
      </c>
      <c r="D893" s="57">
        <v>12000</v>
      </c>
      <c r="E893" s="50">
        <v>0</v>
      </c>
      <c r="F893" s="50">
        <v>0</v>
      </c>
      <c r="G893" s="52">
        <f t="shared" si="64"/>
        <v>0</v>
      </c>
      <c r="H893" s="140"/>
      <c r="I893" s="197"/>
      <c r="J893" s="200"/>
      <c r="K893" s="135"/>
      <c r="L893" s="137"/>
      <c r="M893" s="292"/>
    </row>
    <row r="894" spans="1:13" ht="18.95" customHeight="1">
      <c r="A894" s="195"/>
      <c r="B894" s="135"/>
      <c r="C894" s="48" t="s">
        <v>19</v>
      </c>
      <c r="D894" s="57">
        <v>0</v>
      </c>
      <c r="E894" s="50">
        <v>0</v>
      </c>
      <c r="F894" s="50">
        <v>0</v>
      </c>
      <c r="G894" s="52">
        <f t="shared" si="64"/>
        <v>0</v>
      </c>
      <c r="H894" s="140"/>
      <c r="I894" s="197"/>
      <c r="J894" s="200"/>
      <c r="K894" s="135"/>
      <c r="L894" s="137"/>
      <c r="M894" s="292"/>
    </row>
    <row r="895" spans="1:13" ht="18.95" customHeight="1">
      <c r="A895" s="195"/>
      <c r="B895" s="135"/>
      <c r="C895" s="48" t="s">
        <v>21</v>
      </c>
      <c r="D895" s="57">
        <v>0</v>
      </c>
      <c r="E895" s="50">
        <v>0</v>
      </c>
      <c r="F895" s="50">
        <v>0</v>
      </c>
      <c r="G895" s="52">
        <f t="shared" si="64"/>
        <v>0</v>
      </c>
      <c r="H895" s="140"/>
      <c r="I895" s="197"/>
      <c r="J895" s="200"/>
      <c r="K895" s="135"/>
      <c r="L895" s="137"/>
      <c r="M895" s="292"/>
    </row>
    <row r="896" spans="1:13" ht="18.95" customHeight="1">
      <c r="A896" s="195"/>
      <c r="B896" s="135"/>
      <c r="C896" s="48" t="s">
        <v>31</v>
      </c>
      <c r="D896" s="58">
        <f>D716</f>
        <v>0</v>
      </c>
      <c r="E896" s="50">
        <v>0</v>
      </c>
      <c r="F896" s="50">
        <v>0</v>
      </c>
      <c r="G896" s="52">
        <f t="shared" si="64"/>
        <v>0</v>
      </c>
      <c r="H896" s="140"/>
      <c r="I896" s="198"/>
      <c r="J896" s="201"/>
      <c r="K896" s="135"/>
      <c r="L896" s="138"/>
      <c r="M896" s="292"/>
    </row>
    <row r="897" spans="1:13" ht="18.95" customHeight="1">
      <c r="A897" s="194" t="s">
        <v>600</v>
      </c>
      <c r="B897" s="134" t="s">
        <v>601</v>
      </c>
      <c r="C897" s="48" t="s">
        <v>14</v>
      </c>
      <c r="D897" s="58">
        <f>SUM(D898:D901)</f>
        <v>10000</v>
      </c>
      <c r="E897" s="50">
        <f>SUM(E898:E901)</f>
        <v>0</v>
      </c>
      <c r="F897" s="50">
        <f>SUM(F898:F901)</f>
        <v>0</v>
      </c>
      <c r="G897" s="51">
        <f t="shared" si="64"/>
        <v>0</v>
      </c>
      <c r="H897" s="139" t="s">
        <v>557</v>
      </c>
      <c r="I897" s="196" t="s">
        <v>733</v>
      </c>
      <c r="J897" s="199" t="s">
        <v>105</v>
      </c>
      <c r="K897" s="134" t="s">
        <v>584</v>
      </c>
      <c r="L897" s="136" t="s">
        <v>720</v>
      </c>
      <c r="M897" s="292">
        <v>805</v>
      </c>
    </row>
    <row r="898" spans="1:13" ht="18.95" customHeight="1">
      <c r="A898" s="195"/>
      <c r="B898" s="135"/>
      <c r="C898" s="48" t="s">
        <v>17</v>
      </c>
      <c r="D898" s="57">
        <v>10000</v>
      </c>
      <c r="E898" s="50">
        <v>0</v>
      </c>
      <c r="F898" s="50">
        <v>0</v>
      </c>
      <c r="G898" s="52">
        <f t="shared" si="64"/>
        <v>0</v>
      </c>
      <c r="H898" s="140"/>
      <c r="I898" s="197"/>
      <c r="J898" s="200"/>
      <c r="K898" s="135"/>
      <c r="L898" s="137"/>
      <c r="M898" s="292"/>
    </row>
    <row r="899" spans="1:13" ht="18.95" customHeight="1">
      <c r="A899" s="195"/>
      <c r="B899" s="135"/>
      <c r="C899" s="48" t="s">
        <v>19</v>
      </c>
      <c r="D899" s="57">
        <v>0</v>
      </c>
      <c r="E899" s="50">
        <v>0</v>
      </c>
      <c r="F899" s="50">
        <v>0</v>
      </c>
      <c r="G899" s="52">
        <f t="shared" si="64"/>
        <v>0</v>
      </c>
      <c r="H899" s="140"/>
      <c r="I899" s="197"/>
      <c r="J899" s="200"/>
      <c r="K899" s="135"/>
      <c r="L899" s="137"/>
      <c r="M899" s="292"/>
    </row>
    <row r="900" spans="1:13" ht="18.95" customHeight="1">
      <c r="A900" s="195"/>
      <c r="B900" s="135"/>
      <c r="C900" s="48" t="s">
        <v>21</v>
      </c>
      <c r="D900" s="57">
        <v>0</v>
      </c>
      <c r="E900" s="50">
        <v>0</v>
      </c>
      <c r="F900" s="50">
        <v>0</v>
      </c>
      <c r="G900" s="52">
        <f t="shared" si="64"/>
        <v>0</v>
      </c>
      <c r="H900" s="140"/>
      <c r="I900" s="197"/>
      <c r="J900" s="200"/>
      <c r="K900" s="135"/>
      <c r="L900" s="137"/>
      <c r="M900" s="292"/>
    </row>
    <row r="901" spans="1:13" ht="18.95" customHeight="1">
      <c r="A901" s="195"/>
      <c r="B901" s="135"/>
      <c r="C901" s="48" t="s">
        <v>31</v>
      </c>
      <c r="D901" s="58">
        <f>D736</f>
        <v>0</v>
      </c>
      <c r="E901" s="50">
        <v>0</v>
      </c>
      <c r="F901" s="50">
        <v>0</v>
      </c>
      <c r="G901" s="52">
        <f t="shared" si="64"/>
        <v>0</v>
      </c>
      <c r="H901" s="140"/>
      <c r="I901" s="198"/>
      <c r="J901" s="201"/>
      <c r="K901" s="135"/>
      <c r="L901" s="138"/>
      <c r="M901" s="292"/>
    </row>
    <row r="902" spans="1:13" ht="18.95" customHeight="1">
      <c r="A902" s="155" t="s">
        <v>602</v>
      </c>
      <c r="B902" s="160" t="s">
        <v>603</v>
      </c>
      <c r="C902" s="33" t="s">
        <v>14</v>
      </c>
      <c r="D902" s="34">
        <f>SUM(D903:D906)</f>
        <v>8105790.2999999998</v>
      </c>
      <c r="E902" s="37">
        <f>SUM(E903:E906)</f>
        <v>4067251.2499500001</v>
      </c>
      <c r="F902" s="37">
        <f>SUM(F903:F906)</f>
        <v>4014535.0886899997</v>
      </c>
      <c r="G902" s="35">
        <f t="shared" si="64"/>
        <v>0.49526757294597168</v>
      </c>
      <c r="H902" s="155"/>
      <c r="I902" s="69" t="s">
        <v>15</v>
      </c>
      <c r="J902" s="69">
        <f>J907+J987+J1017+J1027</f>
        <v>16</v>
      </c>
      <c r="K902" s="155" t="s">
        <v>604</v>
      </c>
      <c r="L902" s="157"/>
      <c r="M902" s="292">
        <v>805</v>
      </c>
    </row>
    <row r="903" spans="1:13" ht="18.95" customHeight="1">
      <c r="A903" s="156"/>
      <c r="B903" s="161"/>
      <c r="C903" s="33" t="s">
        <v>17</v>
      </c>
      <c r="D903" s="34">
        <f>D908+D988+D1018</f>
        <v>8042991.5999999996</v>
      </c>
      <c r="E903" s="54">
        <f>E908+E988+E1018+E1028</f>
        <v>4008147.2222899999</v>
      </c>
      <c r="F903" s="54">
        <f>F908+F988+F1018+F1028</f>
        <v>3955449.2282099999</v>
      </c>
      <c r="G903" s="38">
        <f t="shared" si="64"/>
        <v>0.49178830774981785</v>
      </c>
      <c r="H903" s="156"/>
      <c r="I903" s="69" t="s">
        <v>18</v>
      </c>
      <c r="J903" s="69">
        <f>COUNTIF($J$912:$J$1026,"да")</f>
        <v>2</v>
      </c>
      <c r="K903" s="156"/>
      <c r="L903" s="158"/>
      <c r="M903" s="292"/>
    </row>
    <row r="904" spans="1:13" ht="18.95" customHeight="1">
      <c r="A904" s="156"/>
      <c r="B904" s="161"/>
      <c r="C904" s="33" t="s">
        <v>19</v>
      </c>
      <c r="D904" s="34">
        <f>D909+D989+D1019</f>
        <v>62798.700000000004</v>
      </c>
      <c r="E904" s="54">
        <f t="shared" ref="E904:F906" si="65">E909+E989+E1019+E1029</f>
        <v>59104.02766</v>
      </c>
      <c r="F904" s="54">
        <f t="shared" si="65"/>
        <v>59085.860480000003</v>
      </c>
      <c r="G904" s="38">
        <f t="shared" si="64"/>
        <v>0.94087712771124243</v>
      </c>
      <c r="H904" s="156"/>
      <c r="I904" s="69" t="s">
        <v>20</v>
      </c>
      <c r="J904" s="69">
        <f>COUNTIF($J$912:$J$1026,"частично")</f>
        <v>11</v>
      </c>
      <c r="K904" s="156"/>
      <c r="L904" s="158"/>
      <c r="M904" s="292"/>
    </row>
    <row r="905" spans="1:13" ht="18.95" customHeight="1">
      <c r="A905" s="156"/>
      <c r="B905" s="161"/>
      <c r="C905" s="33" t="s">
        <v>21</v>
      </c>
      <c r="D905" s="34">
        <v>0</v>
      </c>
      <c r="E905" s="54">
        <f t="shared" si="65"/>
        <v>0</v>
      </c>
      <c r="F905" s="54">
        <f t="shared" si="65"/>
        <v>0</v>
      </c>
      <c r="G905" s="38">
        <f t="shared" si="64"/>
        <v>0</v>
      </c>
      <c r="H905" s="156"/>
      <c r="I905" s="69" t="s">
        <v>22</v>
      </c>
      <c r="J905" s="69">
        <f>COUNTIF($J$912:$J$1026,"нет")</f>
        <v>3</v>
      </c>
      <c r="K905" s="156"/>
      <c r="L905" s="158"/>
      <c r="M905" s="292"/>
    </row>
    <row r="906" spans="1:13" ht="18.95" customHeight="1">
      <c r="A906" s="156"/>
      <c r="B906" s="161"/>
      <c r="C906" s="33" t="s">
        <v>31</v>
      </c>
      <c r="D906" s="34">
        <f>D911+D991+D1021</f>
        <v>0</v>
      </c>
      <c r="E906" s="54">
        <f t="shared" si="65"/>
        <v>0</v>
      </c>
      <c r="F906" s="54">
        <f t="shared" si="65"/>
        <v>0</v>
      </c>
      <c r="G906" s="38">
        <f t="shared" si="64"/>
        <v>0</v>
      </c>
      <c r="H906" s="156"/>
      <c r="I906" s="69" t="s">
        <v>24</v>
      </c>
      <c r="J906" s="70">
        <f>IF(J902=0,0,(J903+J904*0.5)/J902)</f>
        <v>0.46875</v>
      </c>
      <c r="K906" s="156"/>
      <c r="L906" s="159"/>
      <c r="M906" s="292"/>
    </row>
    <row r="907" spans="1:13" ht="18.95" customHeight="1">
      <c r="A907" s="123" t="s">
        <v>605</v>
      </c>
      <c r="B907" s="123" t="s">
        <v>606</v>
      </c>
      <c r="C907" s="40" t="s">
        <v>14</v>
      </c>
      <c r="D907" s="41">
        <f>SUM(D908:D911)</f>
        <v>1056484.5</v>
      </c>
      <c r="E907" s="42">
        <f>SUM(E908:E911)</f>
        <v>513891.49347000004</v>
      </c>
      <c r="F907" s="42">
        <f>SUM(F908:F911)</f>
        <v>461175.33221000014</v>
      </c>
      <c r="G907" s="43">
        <f>IF(D907&lt;&gt;0,F907/D907,0)</f>
        <v>0.43651878679715617</v>
      </c>
      <c r="H907" s="121"/>
      <c r="I907" s="65" t="s">
        <v>15</v>
      </c>
      <c r="J907" s="65">
        <f>SUM(J908:J910)</f>
        <v>12</v>
      </c>
      <c r="K907" s="121" t="s">
        <v>607</v>
      </c>
      <c r="L907" s="125"/>
      <c r="M907" s="292">
        <v>805</v>
      </c>
    </row>
    <row r="908" spans="1:13" ht="18.95" customHeight="1">
      <c r="A908" s="124"/>
      <c r="B908" s="124"/>
      <c r="C908" s="40" t="s">
        <v>17</v>
      </c>
      <c r="D908" s="41">
        <f>SUM(D913,D918,D923,D933,D928,D938,D943,D948,D953,D958,D963,D968,D973,D978,D983)</f>
        <v>1051239.2</v>
      </c>
      <c r="E908" s="47">
        <f>SUM(E913,E918,E923,E933,E928,E938,E943,E948,E953,E958,E963,E968,E973,E978,E983)</f>
        <v>512271.02429000003</v>
      </c>
      <c r="F908" s="47">
        <f>SUM(F913,F918,F923,F933,F928,F938,F943,F948,F953,F958,F963,F968,F973,F978,F983)</f>
        <v>459573.03021000011</v>
      </c>
      <c r="G908" s="45">
        <f>IF(D908&lt;&gt;0,F908/D908,0)</f>
        <v>0.43717265319824467</v>
      </c>
      <c r="H908" s="122"/>
      <c r="I908" s="65" t="s">
        <v>18</v>
      </c>
      <c r="J908" s="65">
        <f>COUNTIF($J$912:$J$981,"да")</f>
        <v>1</v>
      </c>
      <c r="K908" s="122"/>
      <c r="L908" s="126"/>
      <c r="M908" s="292"/>
    </row>
    <row r="909" spans="1:13" ht="18.95" customHeight="1">
      <c r="A909" s="124"/>
      <c r="B909" s="124"/>
      <c r="C909" s="40" t="s">
        <v>19</v>
      </c>
      <c r="D909" s="41">
        <f>SUM(D914,D919,D924,D934,D929,D939,D944,D949,D954,D959,D964,D969,D974,D979,D984)</f>
        <v>5245.3</v>
      </c>
      <c r="E909" s="47">
        <f t="shared" ref="E909:F911" si="66">SUM(E914,E919,E924,E934,E929,E939,E944,E949,E954,E959,E964,E969,E974,E979,E984)</f>
        <v>1620.4691800000001</v>
      </c>
      <c r="F909" s="47">
        <f t="shared" si="66"/>
        <v>1602.3020000000001</v>
      </c>
      <c r="G909" s="45">
        <f>IF(D909&lt;&gt;0,F909/D909,0)</f>
        <v>0.30547385278249101</v>
      </c>
      <c r="H909" s="122"/>
      <c r="I909" s="65" t="s">
        <v>20</v>
      </c>
      <c r="J909" s="65">
        <f>COUNTIF($J$912:$J$981,"частично")</f>
        <v>8</v>
      </c>
      <c r="K909" s="122"/>
      <c r="L909" s="126"/>
      <c r="M909" s="292"/>
    </row>
    <row r="910" spans="1:13" ht="18.95" customHeight="1">
      <c r="A910" s="124"/>
      <c r="B910" s="124"/>
      <c r="C910" s="40" t="s">
        <v>21</v>
      </c>
      <c r="D910" s="41">
        <v>0</v>
      </c>
      <c r="E910" s="47">
        <f t="shared" si="66"/>
        <v>0</v>
      </c>
      <c r="F910" s="47">
        <f t="shared" si="66"/>
        <v>0</v>
      </c>
      <c r="G910" s="45">
        <f>IF(D910&lt;&gt;0,F910/D910,0)</f>
        <v>0</v>
      </c>
      <c r="H910" s="122"/>
      <c r="I910" s="65" t="s">
        <v>22</v>
      </c>
      <c r="J910" s="65">
        <f>COUNTIF($J$912:$J$981,"нет")</f>
        <v>3</v>
      </c>
      <c r="K910" s="122"/>
      <c r="L910" s="126"/>
      <c r="M910" s="292"/>
    </row>
    <row r="911" spans="1:13" ht="18.95" customHeight="1">
      <c r="A911" s="124"/>
      <c r="B911" s="124"/>
      <c r="C911" s="40" t="s">
        <v>31</v>
      </c>
      <c r="D911" s="41">
        <f>SUM(D916,D921,D926,D936,D931,D941,D946,D951,D956,D961,D966,D971,D976,D981,D986)</f>
        <v>0</v>
      </c>
      <c r="E911" s="47">
        <f t="shared" si="66"/>
        <v>0</v>
      </c>
      <c r="F911" s="47">
        <f t="shared" si="66"/>
        <v>0</v>
      </c>
      <c r="G911" s="45">
        <f>IF(D911&lt;&gt;0,F911/D911,0)</f>
        <v>0</v>
      </c>
      <c r="H911" s="122"/>
      <c r="I911" s="65" t="s">
        <v>24</v>
      </c>
      <c r="J911" s="66">
        <f>IF(J907=0,0,(J908+J909*0.5)/J907)</f>
        <v>0.41666666666666669</v>
      </c>
      <c r="K911" s="122"/>
      <c r="L911" s="127"/>
      <c r="M911" s="292"/>
    </row>
    <row r="912" spans="1:13" ht="18.95" customHeight="1">
      <c r="A912" s="107" t="s">
        <v>608</v>
      </c>
      <c r="B912" s="107" t="s">
        <v>609</v>
      </c>
      <c r="C912" s="27" t="s">
        <v>14</v>
      </c>
      <c r="D912" s="28">
        <f>SUM(D913:D916)</f>
        <v>155503.5</v>
      </c>
      <c r="E912" s="30">
        <f>SUM(E913:E916)</f>
        <v>60404.876709999997</v>
      </c>
      <c r="F912" s="30">
        <f>SUM(F913:F916)</f>
        <v>60404.876709999997</v>
      </c>
      <c r="G912" s="29">
        <f t="shared" si="64"/>
        <v>0.38844705559681936</v>
      </c>
      <c r="H912" s="109" t="s">
        <v>610</v>
      </c>
      <c r="I912" s="209" t="s">
        <v>779</v>
      </c>
      <c r="J912" s="206" t="s">
        <v>701</v>
      </c>
      <c r="K912" s="107" t="s">
        <v>137</v>
      </c>
      <c r="L912" s="104" t="s">
        <v>794</v>
      </c>
      <c r="M912" s="292">
        <v>805</v>
      </c>
    </row>
    <row r="913" spans="1:13" ht="18.95" customHeight="1">
      <c r="A913" s="108"/>
      <c r="B913" s="108"/>
      <c r="C913" s="27" t="s">
        <v>17</v>
      </c>
      <c r="D913" s="28">
        <f>157503.5-2000</f>
        <v>155503.5</v>
      </c>
      <c r="E913" s="30">
        <v>60404.876709999997</v>
      </c>
      <c r="F913" s="30">
        <v>60404.876709999997</v>
      </c>
      <c r="G913" s="31">
        <f t="shared" si="64"/>
        <v>0.38844705559681936</v>
      </c>
      <c r="H913" s="110"/>
      <c r="I913" s="210"/>
      <c r="J913" s="207"/>
      <c r="K913" s="108"/>
      <c r="L913" s="105"/>
      <c r="M913" s="292"/>
    </row>
    <row r="914" spans="1:13" ht="18.95" customHeight="1">
      <c r="A914" s="108"/>
      <c r="B914" s="108"/>
      <c r="C914" s="27" t="s">
        <v>19</v>
      </c>
      <c r="D914" s="28">
        <v>0</v>
      </c>
      <c r="E914" s="30">
        <v>0</v>
      </c>
      <c r="F914" s="30">
        <v>0</v>
      </c>
      <c r="G914" s="31">
        <f t="shared" si="64"/>
        <v>0</v>
      </c>
      <c r="H914" s="110"/>
      <c r="I914" s="210"/>
      <c r="J914" s="207"/>
      <c r="K914" s="108"/>
      <c r="L914" s="105"/>
      <c r="M914" s="292"/>
    </row>
    <row r="915" spans="1:13" ht="18.95" customHeight="1">
      <c r="A915" s="108"/>
      <c r="B915" s="108"/>
      <c r="C915" s="27" t="s">
        <v>21</v>
      </c>
      <c r="D915" s="28">
        <v>0</v>
      </c>
      <c r="E915" s="30">
        <v>0</v>
      </c>
      <c r="F915" s="30">
        <v>0</v>
      </c>
      <c r="G915" s="31">
        <f t="shared" si="64"/>
        <v>0</v>
      </c>
      <c r="H915" s="110"/>
      <c r="I915" s="210"/>
      <c r="J915" s="207"/>
      <c r="K915" s="108"/>
      <c r="L915" s="105"/>
      <c r="M915" s="292"/>
    </row>
    <row r="916" spans="1:13" ht="18.95" customHeight="1">
      <c r="A916" s="108"/>
      <c r="B916" s="108"/>
      <c r="C916" s="27" t="s">
        <v>31</v>
      </c>
      <c r="D916" s="28">
        <v>0</v>
      </c>
      <c r="E916" s="30">
        <v>0</v>
      </c>
      <c r="F916" s="30">
        <v>0</v>
      </c>
      <c r="G916" s="31">
        <f t="shared" si="64"/>
        <v>0</v>
      </c>
      <c r="H916" s="110"/>
      <c r="I916" s="211"/>
      <c r="J916" s="208"/>
      <c r="K916" s="108"/>
      <c r="L916" s="106"/>
      <c r="M916" s="292"/>
    </row>
    <row r="917" spans="1:13" ht="18.95" customHeight="1">
      <c r="A917" s="107" t="s">
        <v>611</v>
      </c>
      <c r="B917" s="109" t="s">
        <v>37</v>
      </c>
      <c r="C917" s="27" t="s">
        <v>14</v>
      </c>
      <c r="D917" s="28">
        <f>SUM(D918:D921)</f>
        <v>2720</v>
      </c>
      <c r="E917" s="30">
        <f>SUM(E918:E921)</f>
        <v>1383.3333399999999</v>
      </c>
      <c r="F917" s="30">
        <f>SUM(F918:F921)</f>
        <v>1127.3</v>
      </c>
      <c r="G917" s="29">
        <f t="shared" si="64"/>
        <v>0.41444852941176469</v>
      </c>
      <c r="H917" s="109" t="s">
        <v>612</v>
      </c>
      <c r="I917" s="203" t="s">
        <v>835</v>
      </c>
      <c r="J917" s="206" t="s">
        <v>701</v>
      </c>
      <c r="K917" s="109" t="s">
        <v>613</v>
      </c>
      <c r="L917" s="104" t="s">
        <v>794</v>
      </c>
      <c r="M917" s="292">
        <v>805</v>
      </c>
    </row>
    <row r="918" spans="1:13" ht="18.95" customHeight="1">
      <c r="A918" s="108"/>
      <c r="B918" s="110"/>
      <c r="C918" s="27" t="s">
        <v>17</v>
      </c>
      <c r="D918" s="28">
        <f>2720</f>
        <v>2720</v>
      </c>
      <c r="E918" s="30">
        <v>1383.3333399999999</v>
      </c>
      <c r="F918" s="30">
        <v>1127.3</v>
      </c>
      <c r="G918" s="31">
        <f t="shared" si="64"/>
        <v>0.41444852941176469</v>
      </c>
      <c r="H918" s="110"/>
      <c r="I918" s="204"/>
      <c r="J918" s="207"/>
      <c r="K918" s="110"/>
      <c r="L918" s="105"/>
      <c r="M918" s="292"/>
    </row>
    <row r="919" spans="1:13" ht="18.95" customHeight="1">
      <c r="A919" s="108"/>
      <c r="B919" s="110"/>
      <c r="C919" s="27" t="s">
        <v>19</v>
      </c>
      <c r="D919" s="28">
        <v>0</v>
      </c>
      <c r="E919" s="30">
        <v>0</v>
      </c>
      <c r="F919" s="30">
        <v>0</v>
      </c>
      <c r="G919" s="31">
        <f t="shared" si="64"/>
        <v>0</v>
      </c>
      <c r="H919" s="110"/>
      <c r="I919" s="204"/>
      <c r="J919" s="207"/>
      <c r="K919" s="110"/>
      <c r="L919" s="105"/>
      <c r="M919" s="292"/>
    </row>
    <row r="920" spans="1:13" ht="18.95" customHeight="1">
      <c r="A920" s="108"/>
      <c r="B920" s="110"/>
      <c r="C920" s="27" t="s">
        <v>21</v>
      </c>
      <c r="D920" s="28">
        <v>0</v>
      </c>
      <c r="E920" s="30">
        <v>0</v>
      </c>
      <c r="F920" s="30">
        <v>0</v>
      </c>
      <c r="G920" s="31">
        <f t="shared" si="64"/>
        <v>0</v>
      </c>
      <c r="H920" s="110"/>
      <c r="I920" s="204"/>
      <c r="J920" s="207"/>
      <c r="K920" s="110"/>
      <c r="L920" s="105"/>
      <c r="M920" s="292"/>
    </row>
    <row r="921" spans="1:13" ht="18.95" customHeight="1">
      <c r="A921" s="108"/>
      <c r="B921" s="110"/>
      <c r="C921" s="27" t="s">
        <v>31</v>
      </c>
      <c r="D921" s="28">
        <v>0</v>
      </c>
      <c r="E921" s="30">
        <v>0</v>
      </c>
      <c r="F921" s="30">
        <v>0</v>
      </c>
      <c r="G921" s="31">
        <f t="shared" si="64"/>
        <v>0</v>
      </c>
      <c r="H921" s="110"/>
      <c r="I921" s="205"/>
      <c r="J921" s="208"/>
      <c r="K921" s="110"/>
      <c r="L921" s="106"/>
      <c r="M921" s="292"/>
    </row>
    <row r="922" spans="1:13" ht="18.95" customHeight="1">
      <c r="A922" s="107" t="s">
        <v>614</v>
      </c>
      <c r="B922" s="109" t="s">
        <v>615</v>
      </c>
      <c r="C922" s="27" t="s">
        <v>14</v>
      </c>
      <c r="D922" s="28">
        <f>SUM(D923:D926)</f>
        <v>504439.6</v>
      </c>
      <c r="E922" s="30">
        <f>SUM(E923:E926)</f>
        <v>267419.91284</v>
      </c>
      <c r="F922" s="30">
        <f>SUM(F923:F926)</f>
        <v>240557.47730999999</v>
      </c>
      <c r="G922" s="29">
        <f t="shared" si="64"/>
        <v>0.47688063607615261</v>
      </c>
      <c r="H922" s="109" t="s">
        <v>616</v>
      </c>
      <c r="I922" s="206" t="s">
        <v>815</v>
      </c>
      <c r="J922" s="206" t="s">
        <v>701</v>
      </c>
      <c r="K922" s="109" t="s">
        <v>584</v>
      </c>
      <c r="L922" s="117" t="s">
        <v>717</v>
      </c>
      <c r="M922" s="292">
        <v>805</v>
      </c>
    </row>
    <row r="923" spans="1:13" ht="18.95" customHeight="1">
      <c r="A923" s="108"/>
      <c r="B923" s="110"/>
      <c r="C923" s="27" t="s">
        <v>17</v>
      </c>
      <c r="D923" s="28">
        <f>562085.1-57645.5</f>
        <v>504439.6</v>
      </c>
      <c r="E923" s="30">
        <v>267419.91284</v>
      </c>
      <c r="F923" s="30">
        <v>240557.47730999999</v>
      </c>
      <c r="G923" s="31">
        <f t="shared" si="64"/>
        <v>0.47688063607615261</v>
      </c>
      <c r="H923" s="110"/>
      <c r="I923" s="207"/>
      <c r="J923" s="207"/>
      <c r="K923" s="110"/>
      <c r="L923" s="118"/>
      <c r="M923" s="292"/>
    </row>
    <row r="924" spans="1:13" ht="18.95" customHeight="1">
      <c r="A924" s="108"/>
      <c r="B924" s="110"/>
      <c r="C924" s="27" t="s">
        <v>19</v>
      </c>
      <c r="D924" s="28">
        <v>0</v>
      </c>
      <c r="E924" s="30">
        <v>0</v>
      </c>
      <c r="F924" s="30">
        <v>0</v>
      </c>
      <c r="G924" s="31">
        <f t="shared" si="64"/>
        <v>0</v>
      </c>
      <c r="H924" s="110"/>
      <c r="I924" s="207"/>
      <c r="J924" s="207"/>
      <c r="K924" s="110"/>
      <c r="L924" s="118"/>
      <c r="M924" s="292"/>
    </row>
    <row r="925" spans="1:13" ht="18.95" customHeight="1">
      <c r="A925" s="108"/>
      <c r="B925" s="110"/>
      <c r="C925" s="27" t="s">
        <v>21</v>
      </c>
      <c r="D925" s="28">
        <v>0</v>
      </c>
      <c r="E925" s="30">
        <v>0</v>
      </c>
      <c r="F925" s="30">
        <v>0</v>
      </c>
      <c r="G925" s="31">
        <f t="shared" si="64"/>
        <v>0</v>
      </c>
      <c r="H925" s="110"/>
      <c r="I925" s="207"/>
      <c r="J925" s="207"/>
      <c r="K925" s="110"/>
      <c r="L925" s="118"/>
      <c r="M925" s="292"/>
    </row>
    <row r="926" spans="1:13" ht="18.95" customHeight="1">
      <c r="A926" s="108"/>
      <c r="B926" s="110"/>
      <c r="C926" s="27" t="s">
        <v>31</v>
      </c>
      <c r="D926" s="28">
        <v>0</v>
      </c>
      <c r="E926" s="30">
        <v>0</v>
      </c>
      <c r="F926" s="30">
        <v>0</v>
      </c>
      <c r="G926" s="31">
        <f t="shared" si="64"/>
        <v>0</v>
      </c>
      <c r="H926" s="110"/>
      <c r="I926" s="208"/>
      <c r="J926" s="208"/>
      <c r="K926" s="110"/>
      <c r="L926" s="119"/>
      <c r="M926" s="292"/>
    </row>
    <row r="927" spans="1:13" ht="18.95" customHeight="1">
      <c r="A927" s="107" t="s">
        <v>617</v>
      </c>
      <c r="B927" s="109" t="s">
        <v>618</v>
      </c>
      <c r="C927" s="27" t="s">
        <v>14</v>
      </c>
      <c r="D927" s="28">
        <f>SUM(D928:D931)</f>
        <v>119485.1</v>
      </c>
      <c r="E927" s="30">
        <f>SUM(E928:E931)</f>
        <v>75783.134869999994</v>
      </c>
      <c r="F927" s="30">
        <f>SUM(F928:F931)</f>
        <v>63941.713540000004</v>
      </c>
      <c r="G927" s="29">
        <f t="shared" si="64"/>
        <v>0.53514382579920006</v>
      </c>
      <c r="H927" s="109" t="s">
        <v>619</v>
      </c>
      <c r="I927" s="212" t="s">
        <v>841</v>
      </c>
      <c r="J927" s="206" t="s">
        <v>701</v>
      </c>
      <c r="K927" s="109" t="s">
        <v>584</v>
      </c>
      <c r="L927" s="117" t="s">
        <v>717</v>
      </c>
      <c r="M927" s="292">
        <v>805</v>
      </c>
    </row>
    <row r="928" spans="1:13" ht="18.95" customHeight="1">
      <c r="A928" s="108"/>
      <c r="B928" s="110"/>
      <c r="C928" s="27" t="s">
        <v>17</v>
      </c>
      <c r="D928" s="28">
        <f>119485.1</f>
        <v>119485.1</v>
      </c>
      <c r="E928" s="30">
        <v>75783.134869999994</v>
      </c>
      <c r="F928" s="30">
        <v>63941.713540000004</v>
      </c>
      <c r="G928" s="31">
        <f t="shared" si="64"/>
        <v>0.53514382579920006</v>
      </c>
      <c r="H928" s="110"/>
      <c r="I928" s="213"/>
      <c r="J928" s="207"/>
      <c r="K928" s="110"/>
      <c r="L928" s="118"/>
      <c r="M928" s="292"/>
    </row>
    <row r="929" spans="1:13" ht="18.95" customHeight="1">
      <c r="A929" s="108"/>
      <c r="B929" s="110"/>
      <c r="C929" s="27" t="s">
        <v>19</v>
      </c>
      <c r="D929" s="28">
        <v>0</v>
      </c>
      <c r="E929" s="30">
        <v>0</v>
      </c>
      <c r="F929" s="30">
        <v>0</v>
      </c>
      <c r="G929" s="31">
        <f t="shared" si="64"/>
        <v>0</v>
      </c>
      <c r="H929" s="110"/>
      <c r="I929" s="213"/>
      <c r="J929" s="207"/>
      <c r="K929" s="110"/>
      <c r="L929" s="118"/>
      <c r="M929" s="292"/>
    </row>
    <row r="930" spans="1:13" ht="18.95" customHeight="1">
      <c r="A930" s="108"/>
      <c r="B930" s="110"/>
      <c r="C930" s="27" t="s">
        <v>21</v>
      </c>
      <c r="D930" s="28">
        <v>0</v>
      </c>
      <c r="E930" s="30">
        <v>0</v>
      </c>
      <c r="F930" s="30">
        <v>0</v>
      </c>
      <c r="G930" s="31">
        <f t="shared" si="64"/>
        <v>0</v>
      </c>
      <c r="H930" s="110"/>
      <c r="I930" s="213"/>
      <c r="J930" s="207"/>
      <c r="K930" s="110"/>
      <c r="L930" s="118"/>
      <c r="M930" s="292"/>
    </row>
    <row r="931" spans="1:13" ht="18.95" customHeight="1">
      <c r="A931" s="108"/>
      <c r="B931" s="110"/>
      <c r="C931" s="27" t="s">
        <v>31</v>
      </c>
      <c r="D931" s="28">
        <v>0</v>
      </c>
      <c r="E931" s="30">
        <v>0</v>
      </c>
      <c r="F931" s="30">
        <v>0</v>
      </c>
      <c r="G931" s="31">
        <f t="shared" si="64"/>
        <v>0</v>
      </c>
      <c r="H931" s="110"/>
      <c r="I931" s="214"/>
      <c r="J931" s="208"/>
      <c r="K931" s="110"/>
      <c r="L931" s="119"/>
      <c r="M931" s="292"/>
    </row>
    <row r="932" spans="1:13" ht="18.95" customHeight="1">
      <c r="A932" s="107" t="s">
        <v>620</v>
      </c>
      <c r="B932" s="109" t="s">
        <v>621</v>
      </c>
      <c r="C932" s="27" t="s">
        <v>14</v>
      </c>
      <c r="D932" s="28">
        <f>SUM(D933:D936)</f>
        <v>55883.7</v>
      </c>
      <c r="E932" s="30">
        <f>SUM(E933:E936)</f>
        <v>15900.06799</v>
      </c>
      <c r="F932" s="30">
        <f>SUM(F933:F936)</f>
        <v>13108.61341</v>
      </c>
      <c r="G932" s="29">
        <f t="shared" si="64"/>
        <v>0.23456953297652089</v>
      </c>
      <c r="H932" s="109" t="s">
        <v>622</v>
      </c>
      <c r="I932" s="206" t="s">
        <v>687</v>
      </c>
      <c r="J932" s="206" t="s">
        <v>105</v>
      </c>
      <c r="K932" s="109" t="s">
        <v>584</v>
      </c>
      <c r="L932" s="104" t="s">
        <v>180</v>
      </c>
      <c r="M932" s="292">
        <v>805</v>
      </c>
    </row>
    <row r="933" spans="1:13" ht="18.95" customHeight="1">
      <c r="A933" s="108"/>
      <c r="B933" s="110"/>
      <c r="C933" s="27" t="s">
        <v>17</v>
      </c>
      <c r="D933" s="28">
        <f>62440.2-6556.5</f>
        <v>55883.7</v>
      </c>
      <c r="E933" s="30">
        <v>15900.06799</v>
      </c>
      <c r="F933" s="30">
        <v>13108.61341</v>
      </c>
      <c r="G933" s="31">
        <f t="shared" si="64"/>
        <v>0.23456953297652089</v>
      </c>
      <c r="H933" s="110"/>
      <c r="I933" s="207"/>
      <c r="J933" s="207"/>
      <c r="K933" s="110"/>
      <c r="L933" s="105"/>
      <c r="M933" s="292"/>
    </row>
    <row r="934" spans="1:13" ht="18.95" customHeight="1">
      <c r="A934" s="108"/>
      <c r="B934" s="110"/>
      <c r="C934" s="27" t="s">
        <v>19</v>
      </c>
      <c r="D934" s="28">
        <v>0</v>
      </c>
      <c r="E934" s="30">
        <v>0</v>
      </c>
      <c r="F934" s="30">
        <v>0</v>
      </c>
      <c r="G934" s="31">
        <f t="shared" si="64"/>
        <v>0</v>
      </c>
      <c r="H934" s="110"/>
      <c r="I934" s="207"/>
      <c r="J934" s="207"/>
      <c r="K934" s="110"/>
      <c r="L934" s="105"/>
      <c r="M934" s="292"/>
    </row>
    <row r="935" spans="1:13" ht="18.95" customHeight="1">
      <c r="A935" s="108"/>
      <c r="B935" s="110"/>
      <c r="C935" s="27" t="s">
        <v>21</v>
      </c>
      <c r="D935" s="28">
        <v>0</v>
      </c>
      <c r="E935" s="30">
        <v>0</v>
      </c>
      <c r="F935" s="30">
        <v>0</v>
      </c>
      <c r="G935" s="31">
        <f t="shared" si="64"/>
        <v>0</v>
      </c>
      <c r="H935" s="110"/>
      <c r="I935" s="207"/>
      <c r="J935" s="207"/>
      <c r="K935" s="110"/>
      <c r="L935" s="105"/>
      <c r="M935" s="292"/>
    </row>
    <row r="936" spans="1:13" ht="18.95" customHeight="1">
      <c r="A936" s="108"/>
      <c r="B936" s="110"/>
      <c r="C936" s="27" t="s">
        <v>31</v>
      </c>
      <c r="D936" s="28">
        <v>0</v>
      </c>
      <c r="E936" s="30">
        <v>0</v>
      </c>
      <c r="F936" s="30">
        <v>0</v>
      </c>
      <c r="G936" s="31">
        <f t="shared" ref="G936:G981" si="67">IF(D936&lt;&gt;0,F936/D936,0)</f>
        <v>0</v>
      </c>
      <c r="H936" s="110"/>
      <c r="I936" s="208"/>
      <c r="J936" s="208"/>
      <c r="K936" s="110"/>
      <c r="L936" s="106"/>
      <c r="M936" s="292"/>
    </row>
    <row r="937" spans="1:13" ht="18.95" customHeight="1">
      <c r="A937" s="107" t="s">
        <v>623</v>
      </c>
      <c r="B937" s="109" t="s">
        <v>624</v>
      </c>
      <c r="C937" s="27" t="s">
        <v>14</v>
      </c>
      <c r="D937" s="28">
        <f>SUM(D938:D941)</f>
        <v>6556.5</v>
      </c>
      <c r="E937" s="30">
        <f>SUM(E938:E941)</f>
        <v>1690.18559</v>
      </c>
      <c r="F937" s="30">
        <f>SUM(F938:F941)</f>
        <v>858.36583000000007</v>
      </c>
      <c r="G937" s="29">
        <f t="shared" si="67"/>
        <v>0.13091829939754443</v>
      </c>
      <c r="H937" s="109" t="s">
        <v>625</v>
      </c>
      <c r="I937" s="212" t="s">
        <v>842</v>
      </c>
      <c r="J937" s="206" t="s">
        <v>105</v>
      </c>
      <c r="K937" s="109" t="s">
        <v>584</v>
      </c>
      <c r="L937" s="104" t="s">
        <v>816</v>
      </c>
      <c r="M937" s="292">
        <v>805</v>
      </c>
    </row>
    <row r="938" spans="1:13" ht="18.95" customHeight="1">
      <c r="A938" s="108"/>
      <c r="B938" s="110"/>
      <c r="C938" s="27" t="s">
        <v>17</v>
      </c>
      <c r="D938" s="28">
        <v>6556.5</v>
      </c>
      <c r="E938" s="30">
        <v>1690.18559</v>
      </c>
      <c r="F938" s="30">
        <v>858.36583000000007</v>
      </c>
      <c r="G938" s="31">
        <f t="shared" si="67"/>
        <v>0.13091829939754443</v>
      </c>
      <c r="H938" s="110"/>
      <c r="I938" s="213"/>
      <c r="J938" s="207"/>
      <c r="K938" s="110"/>
      <c r="L938" s="105"/>
      <c r="M938" s="292"/>
    </row>
    <row r="939" spans="1:13" ht="18.95" customHeight="1">
      <c r="A939" s="108"/>
      <c r="B939" s="110"/>
      <c r="C939" s="27" t="s">
        <v>19</v>
      </c>
      <c r="D939" s="28">
        <v>0</v>
      </c>
      <c r="E939" s="30">
        <v>0</v>
      </c>
      <c r="F939" s="30">
        <v>0</v>
      </c>
      <c r="G939" s="31">
        <f t="shared" si="67"/>
        <v>0</v>
      </c>
      <c r="H939" s="110"/>
      <c r="I939" s="213"/>
      <c r="J939" s="207"/>
      <c r="K939" s="110"/>
      <c r="L939" s="105"/>
      <c r="M939" s="292"/>
    </row>
    <row r="940" spans="1:13" ht="18.95" customHeight="1">
      <c r="A940" s="108"/>
      <c r="B940" s="110"/>
      <c r="C940" s="27" t="s">
        <v>21</v>
      </c>
      <c r="D940" s="28">
        <v>0</v>
      </c>
      <c r="E940" s="30">
        <v>0</v>
      </c>
      <c r="F940" s="30">
        <v>0</v>
      </c>
      <c r="G940" s="31">
        <f t="shared" si="67"/>
        <v>0</v>
      </c>
      <c r="H940" s="110"/>
      <c r="I940" s="213"/>
      <c r="J940" s="207"/>
      <c r="K940" s="110"/>
      <c r="L940" s="105"/>
      <c r="M940" s="292"/>
    </row>
    <row r="941" spans="1:13" ht="30.75" customHeight="1">
      <c r="A941" s="108"/>
      <c r="B941" s="110"/>
      <c r="C941" s="27" t="s">
        <v>31</v>
      </c>
      <c r="D941" s="28">
        <v>0</v>
      </c>
      <c r="E941" s="30">
        <v>0</v>
      </c>
      <c r="F941" s="30">
        <v>0</v>
      </c>
      <c r="G941" s="31">
        <f t="shared" si="67"/>
        <v>0</v>
      </c>
      <c r="H941" s="110"/>
      <c r="I941" s="214"/>
      <c r="J941" s="208"/>
      <c r="K941" s="110"/>
      <c r="L941" s="106"/>
      <c r="M941" s="292"/>
    </row>
    <row r="942" spans="1:13" ht="18.95" customHeight="1">
      <c r="A942" s="107" t="s">
        <v>626</v>
      </c>
      <c r="B942" s="109" t="s">
        <v>627</v>
      </c>
      <c r="C942" s="27" t="s">
        <v>14</v>
      </c>
      <c r="D942" s="28">
        <f>SUM(D943:D946)</f>
        <v>57645.5</v>
      </c>
      <c r="E942" s="30">
        <f>SUM(E943:E946)</f>
        <v>34040.41461</v>
      </c>
      <c r="F942" s="30">
        <f>SUM(F943:F946)</f>
        <v>33305.480219999998</v>
      </c>
      <c r="G942" s="29">
        <f t="shared" si="67"/>
        <v>0.57776374946873554</v>
      </c>
      <c r="H942" s="109" t="s">
        <v>628</v>
      </c>
      <c r="I942" s="165" t="s">
        <v>843</v>
      </c>
      <c r="J942" s="206" t="s">
        <v>701</v>
      </c>
      <c r="K942" s="109" t="s">
        <v>584</v>
      </c>
      <c r="L942" s="104" t="s">
        <v>629</v>
      </c>
      <c r="M942" s="292">
        <v>805</v>
      </c>
    </row>
    <row r="943" spans="1:13" ht="18.95" customHeight="1">
      <c r="A943" s="108"/>
      <c r="B943" s="110"/>
      <c r="C943" s="27" t="s">
        <v>17</v>
      </c>
      <c r="D943" s="28">
        <v>57645.5</v>
      </c>
      <c r="E943" s="30">
        <v>34040.41461</v>
      </c>
      <c r="F943" s="30">
        <v>33305.480219999998</v>
      </c>
      <c r="G943" s="31">
        <f t="shared" si="67"/>
        <v>0.57776374946873554</v>
      </c>
      <c r="H943" s="110"/>
      <c r="I943" s="166"/>
      <c r="J943" s="207"/>
      <c r="K943" s="110"/>
      <c r="L943" s="105"/>
      <c r="M943" s="292"/>
    </row>
    <row r="944" spans="1:13" ht="18.95" customHeight="1">
      <c r="A944" s="108"/>
      <c r="B944" s="110"/>
      <c r="C944" s="27" t="s">
        <v>19</v>
      </c>
      <c r="D944" s="28">
        <v>0</v>
      </c>
      <c r="E944" s="30">
        <v>0</v>
      </c>
      <c r="F944" s="30">
        <v>0</v>
      </c>
      <c r="G944" s="31">
        <f t="shared" si="67"/>
        <v>0</v>
      </c>
      <c r="H944" s="110"/>
      <c r="I944" s="166"/>
      <c r="J944" s="207"/>
      <c r="K944" s="110"/>
      <c r="L944" s="105"/>
      <c r="M944" s="292"/>
    </row>
    <row r="945" spans="1:13" ht="18.95" customHeight="1">
      <c r="A945" s="108"/>
      <c r="B945" s="110"/>
      <c r="C945" s="27" t="s">
        <v>21</v>
      </c>
      <c r="D945" s="28">
        <v>0</v>
      </c>
      <c r="E945" s="30">
        <v>0</v>
      </c>
      <c r="F945" s="30">
        <v>0</v>
      </c>
      <c r="G945" s="31">
        <f t="shared" si="67"/>
        <v>0</v>
      </c>
      <c r="H945" s="110"/>
      <c r="I945" s="166"/>
      <c r="J945" s="207"/>
      <c r="K945" s="110"/>
      <c r="L945" s="105"/>
      <c r="M945" s="292"/>
    </row>
    <row r="946" spans="1:13" ht="18.95" customHeight="1">
      <c r="A946" s="108"/>
      <c r="B946" s="110"/>
      <c r="C946" s="27" t="s">
        <v>31</v>
      </c>
      <c r="D946" s="28">
        <v>0</v>
      </c>
      <c r="E946" s="30">
        <v>0</v>
      </c>
      <c r="F946" s="30">
        <v>0</v>
      </c>
      <c r="G946" s="31">
        <f t="shared" si="67"/>
        <v>0</v>
      </c>
      <c r="H946" s="110"/>
      <c r="I946" s="167"/>
      <c r="J946" s="208"/>
      <c r="K946" s="110"/>
      <c r="L946" s="106"/>
      <c r="M946" s="292"/>
    </row>
    <row r="947" spans="1:13" ht="18.95" customHeight="1">
      <c r="A947" s="107" t="s">
        <v>630</v>
      </c>
      <c r="B947" s="109" t="s">
        <v>631</v>
      </c>
      <c r="C947" s="27" t="s">
        <v>14</v>
      </c>
      <c r="D947" s="28">
        <f>SUM(D948:D951)</f>
        <v>19528.2</v>
      </c>
      <c r="E947" s="30">
        <f>SUM(E948:E951)</f>
        <v>1382.86699</v>
      </c>
      <c r="F947" s="30">
        <f>SUM(F948:F951)</f>
        <v>1154</v>
      </c>
      <c r="G947" s="29">
        <f t="shared" si="67"/>
        <v>5.9094028123431751E-2</v>
      </c>
      <c r="H947" s="109" t="s">
        <v>632</v>
      </c>
      <c r="I947" s="212" t="s">
        <v>844</v>
      </c>
      <c r="J947" s="206" t="s">
        <v>105</v>
      </c>
      <c r="K947" s="109" t="s">
        <v>584</v>
      </c>
      <c r="L947" s="104" t="s">
        <v>755</v>
      </c>
      <c r="M947" s="292">
        <v>805</v>
      </c>
    </row>
    <row r="948" spans="1:13" ht="18.95" customHeight="1">
      <c r="A948" s="108"/>
      <c r="B948" s="110"/>
      <c r="C948" s="27" t="s">
        <v>17</v>
      </c>
      <c r="D948" s="28">
        <v>19528.2</v>
      </c>
      <c r="E948" s="30">
        <v>1382.86699</v>
      </c>
      <c r="F948" s="30">
        <v>1154</v>
      </c>
      <c r="G948" s="31">
        <f t="shared" si="67"/>
        <v>5.9094028123431751E-2</v>
      </c>
      <c r="H948" s="110"/>
      <c r="I948" s="213"/>
      <c r="J948" s="207"/>
      <c r="K948" s="110"/>
      <c r="L948" s="105"/>
      <c r="M948" s="292"/>
    </row>
    <row r="949" spans="1:13" ht="18.95" customHeight="1">
      <c r="A949" s="108"/>
      <c r="B949" s="110"/>
      <c r="C949" s="27" t="s">
        <v>19</v>
      </c>
      <c r="D949" s="28">
        <v>0</v>
      </c>
      <c r="E949" s="30">
        <v>0</v>
      </c>
      <c r="F949" s="30">
        <v>0</v>
      </c>
      <c r="G949" s="31">
        <f t="shared" si="67"/>
        <v>0</v>
      </c>
      <c r="H949" s="110"/>
      <c r="I949" s="213"/>
      <c r="J949" s="207"/>
      <c r="K949" s="110"/>
      <c r="L949" s="105"/>
      <c r="M949" s="292"/>
    </row>
    <row r="950" spans="1:13" ht="18.95" customHeight="1">
      <c r="A950" s="108"/>
      <c r="B950" s="110"/>
      <c r="C950" s="27" t="s">
        <v>21</v>
      </c>
      <c r="D950" s="28">
        <v>0</v>
      </c>
      <c r="E950" s="30">
        <v>0</v>
      </c>
      <c r="F950" s="30">
        <v>0</v>
      </c>
      <c r="G950" s="31">
        <f t="shared" si="67"/>
        <v>0</v>
      </c>
      <c r="H950" s="110"/>
      <c r="I950" s="213"/>
      <c r="J950" s="207"/>
      <c r="K950" s="110"/>
      <c r="L950" s="105"/>
      <c r="M950" s="292"/>
    </row>
    <row r="951" spans="1:13" ht="18.95" customHeight="1">
      <c r="A951" s="108"/>
      <c r="B951" s="110"/>
      <c r="C951" s="27" t="s">
        <v>31</v>
      </c>
      <c r="D951" s="28">
        <v>0</v>
      </c>
      <c r="E951" s="30">
        <v>0</v>
      </c>
      <c r="F951" s="30">
        <v>0</v>
      </c>
      <c r="G951" s="31">
        <f t="shared" si="67"/>
        <v>0</v>
      </c>
      <c r="H951" s="110"/>
      <c r="I951" s="214"/>
      <c r="J951" s="208"/>
      <c r="K951" s="110"/>
      <c r="L951" s="106"/>
      <c r="M951" s="292"/>
    </row>
    <row r="952" spans="1:13" ht="18.95" hidden="1" customHeight="1">
      <c r="A952" s="107" t="s">
        <v>633</v>
      </c>
      <c r="B952" s="109" t="s">
        <v>634</v>
      </c>
      <c r="C952" s="27" t="s">
        <v>14</v>
      </c>
      <c r="D952" s="28">
        <f>SUM(D953:D956)</f>
        <v>0</v>
      </c>
      <c r="E952" s="30">
        <f>SUM(E953:E956)</f>
        <v>0</v>
      </c>
      <c r="F952" s="30">
        <f>SUM(F953:F956)</f>
        <v>0</v>
      </c>
      <c r="G952" s="29">
        <f t="shared" si="67"/>
        <v>0</v>
      </c>
      <c r="H952" s="109" t="s">
        <v>635</v>
      </c>
      <c r="I952" s="212"/>
      <c r="J952" s="206"/>
      <c r="K952" s="109" t="s">
        <v>584</v>
      </c>
      <c r="L952" s="104"/>
    </row>
    <row r="953" spans="1:13" ht="18.95" hidden="1" customHeight="1">
      <c r="A953" s="108"/>
      <c r="B953" s="110"/>
      <c r="C953" s="27" t="s">
        <v>17</v>
      </c>
      <c r="D953" s="28">
        <v>0</v>
      </c>
      <c r="E953" s="30">
        <v>0</v>
      </c>
      <c r="F953" s="30">
        <v>0</v>
      </c>
      <c r="G953" s="31">
        <f t="shared" si="67"/>
        <v>0</v>
      </c>
      <c r="H953" s="110"/>
      <c r="I953" s="213"/>
      <c r="J953" s="207"/>
      <c r="K953" s="110"/>
      <c r="L953" s="105"/>
    </row>
    <row r="954" spans="1:13" ht="18.95" hidden="1" customHeight="1">
      <c r="A954" s="108"/>
      <c r="B954" s="110"/>
      <c r="C954" s="27" t="s">
        <v>19</v>
      </c>
      <c r="D954" s="28">
        <v>0</v>
      </c>
      <c r="E954" s="30">
        <v>0</v>
      </c>
      <c r="F954" s="30">
        <v>0</v>
      </c>
      <c r="G954" s="31">
        <f t="shared" si="67"/>
        <v>0</v>
      </c>
      <c r="H954" s="110"/>
      <c r="I954" s="213"/>
      <c r="J954" s="207"/>
      <c r="K954" s="110"/>
      <c r="L954" s="105"/>
    </row>
    <row r="955" spans="1:13" ht="18.95" hidden="1" customHeight="1">
      <c r="A955" s="108"/>
      <c r="B955" s="110"/>
      <c r="C955" s="27" t="s">
        <v>21</v>
      </c>
      <c r="D955" s="28">
        <v>0</v>
      </c>
      <c r="E955" s="30">
        <v>0</v>
      </c>
      <c r="F955" s="30">
        <v>0</v>
      </c>
      <c r="G955" s="31">
        <f t="shared" si="67"/>
        <v>0</v>
      </c>
      <c r="H955" s="110"/>
      <c r="I955" s="213"/>
      <c r="J955" s="207"/>
      <c r="K955" s="110"/>
      <c r="L955" s="105"/>
    </row>
    <row r="956" spans="1:13" ht="18.95" hidden="1" customHeight="1">
      <c r="A956" s="108"/>
      <c r="B956" s="110"/>
      <c r="C956" s="27" t="s">
        <v>31</v>
      </c>
      <c r="D956" s="28">
        <v>0</v>
      </c>
      <c r="E956" s="30">
        <v>0</v>
      </c>
      <c r="F956" s="30">
        <v>0</v>
      </c>
      <c r="G956" s="31">
        <f t="shared" si="67"/>
        <v>0</v>
      </c>
      <c r="H956" s="110"/>
      <c r="I956" s="214"/>
      <c r="J956" s="208"/>
      <c r="K956" s="110"/>
      <c r="L956" s="106"/>
    </row>
    <row r="957" spans="1:13" ht="18.95" hidden="1" customHeight="1">
      <c r="A957" s="107" t="s">
        <v>636</v>
      </c>
      <c r="B957" s="120" t="s">
        <v>637</v>
      </c>
      <c r="C957" s="27" t="s">
        <v>14</v>
      </c>
      <c r="D957" s="28">
        <f>SUM(D958:D961)</f>
        <v>0</v>
      </c>
      <c r="E957" s="30">
        <f>SUM(E958:E961)</f>
        <v>0</v>
      </c>
      <c r="F957" s="30">
        <f>SUM(F958:F961)</f>
        <v>0</v>
      </c>
      <c r="G957" s="29">
        <f t="shared" si="67"/>
        <v>0</v>
      </c>
      <c r="H957" s="109" t="s">
        <v>638</v>
      </c>
      <c r="I957" s="212"/>
      <c r="J957" s="206"/>
      <c r="K957" s="109" t="s">
        <v>584</v>
      </c>
      <c r="L957" s="104"/>
    </row>
    <row r="958" spans="1:13" ht="18.95" hidden="1" customHeight="1">
      <c r="A958" s="108"/>
      <c r="B958" s="110"/>
      <c r="C958" s="27" t="s">
        <v>17</v>
      </c>
      <c r="D958" s="28">
        <v>0</v>
      </c>
      <c r="E958" s="30">
        <v>0</v>
      </c>
      <c r="F958" s="30">
        <v>0</v>
      </c>
      <c r="G958" s="31">
        <f t="shared" si="67"/>
        <v>0</v>
      </c>
      <c r="H958" s="110"/>
      <c r="I958" s="213"/>
      <c r="J958" s="207"/>
      <c r="K958" s="110"/>
      <c r="L958" s="105"/>
    </row>
    <row r="959" spans="1:13" ht="18.95" hidden="1" customHeight="1">
      <c r="A959" s="108"/>
      <c r="B959" s="110"/>
      <c r="C959" s="27" t="s">
        <v>19</v>
      </c>
      <c r="D959" s="28">
        <v>0</v>
      </c>
      <c r="E959" s="30">
        <v>0</v>
      </c>
      <c r="F959" s="30">
        <v>0</v>
      </c>
      <c r="G959" s="31">
        <f t="shared" si="67"/>
        <v>0</v>
      </c>
      <c r="H959" s="110"/>
      <c r="I959" s="213"/>
      <c r="J959" s="207"/>
      <c r="K959" s="110"/>
      <c r="L959" s="105"/>
    </row>
    <row r="960" spans="1:13" ht="18.95" hidden="1" customHeight="1">
      <c r="A960" s="108"/>
      <c r="B960" s="110"/>
      <c r="C960" s="27" t="s">
        <v>21</v>
      </c>
      <c r="D960" s="28">
        <v>0</v>
      </c>
      <c r="E960" s="30">
        <v>0</v>
      </c>
      <c r="F960" s="30">
        <v>0</v>
      </c>
      <c r="G960" s="31">
        <f t="shared" si="67"/>
        <v>0</v>
      </c>
      <c r="H960" s="110"/>
      <c r="I960" s="213"/>
      <c r="J960" s="207"/>
      <c r="K960" s="110"/>
      <c r="L960" s="105"/>
    </row>
    <row r="961" spans="1:13" ht="18.95" hidden="1" customHeight="1">
      <c r="A961" s="108"/>
      <c r="B961" s="110"/>
      <c r="C961" s="27" t="s">
        <v>31</v>
      </c>
      <c r="D961" s="28">
        <v>0</v>
      </c>
      <c r="E961" s="30">
        <v>0</v>
      </c>
      <c r="F961" s="30">
        <v>0</v>
      </c>
      <c r="G961" s="31">
        <f t="shared" si="67"/>
        <v>0</v>
      </c>
      <c r="H961" s="110"/>
      <c r="I961" s="214"/>
      <c r="J961" s="208"/>
      <c r="K961" s="110"/>
      <c r="L961" s="106"/>
    </row>
    <row r="962" spans="1:13" ht="18.95" customHeight="1">
      <c r="A962" s="107" t="s">
        <v>639</v>
      </c>
      <c r="B962" s="120" t="s">
        <v>640</v>
      </c>
      <c r="C962" s="27" t="s">
        <v>14</v>
      </c>
      <c r="D962" s="28">
        <f>SUM(D963:D966)</f>
        <v>16001.9</v>
      </c>
      <c r="E962" s="30">
        <f>SUM(E963:E966)</f>
        <v>8323.3686699999998</v>
      </c>
      <c r="F962" s="30">
        <f>SUM(F963:F966)</f>
        <v>7383.6975000000002</v>
      </c>
      <c r="G962" s="29">
        <f t="shared" si="67"/>
        <v>0.46142629937694901</v>
      </c>
      <c r="H962" s="109" t="s">
        <v>641</v>
      </c>
      <c r="I962" s="212" t="s">
        <v>845</v>
      </c>
      <c r="J962" s="206" t="s">
        <v>701</v>
      </c>
      <c r="K962" s="109" t="s">
        <v>584</v>
      </c>
      <c r="L962" s="117" t="s">
        <v>717</v>
      </c>
      <c r="M962" s="292">
        <v>805</v>
      </c>
    </row>
    <row r="963" spans="1:13" ht="18.95" customHeight="1">
      <c r="A963" s="108"/>
      <c r="B963" s="110"/>
      <c r="C963" s="27" t="s">
        <v>17</v>
      </c>
      <c r="D963" s="28">
        <v>16001.9</v>
      </c>
      <c r="E963" s="30">
        <v>8323.3686699999998</v>
      </c>
      <c r="F963" s="30">
        <v>7383.6975000000002</v>
      </c>
      <c r="G963" s="31">
        <f t="shared" si="67"/>
        <v>0.46142629937694901</v>
      </c>
      <c r="H963" s="110"/>
      <c r="I963" s="213"/>
      <c r="J963" s="207"/>
      <c r="K963" s="110"/>
      <c r="L963" s="118"/>
      <c r="M963" s="292"/>
    </row>
    <row r="964" spans="1:13" ht="18.95" customHeight="1">
      <c r="A964" s="108"/>
      <c r="B964" s="110"/>
      <c r="C964" s="27" t="s">
        <v>19</v>
      </c>
      <c r="D964" s="28">
        <v>0</v>
      </c>
      <c r="E964" s="30">
        <v>0</v>
      </c>
      <c r="F964" s="30">
        <v>0</v>
      </c>
      <c r="G964" s="31">
        <f t="shared" si="67"/>
        <v>0</v>
      </c>
      <c r="H964" s="110"/>
      <c r="I964" s="213"/>
      <c r="J964" s="207"/>
      <c r="K964" s="110"/>
      <c r="L964" s="118"/>
      <c r="M964" s="292"/>
    </row>
    <row r="965" spans="1:13" ht="18.95" customHeight="1">
      <c r="A965" s="108"/>
      <c r="B965" s="110"/>
      <c r="C965" s="27" t="s">
        <v>21</v>
      </c>
      <c r="D965" s="28">
        <v>0</v>
      </c>
      <c r="E965" s="30">
        <v>0</v>
      </c>
      <c r="F965" s="30">
        <v>0</v>
      </c>
      <c r="G965" s="31">
        <f t="shared" si="67"/>
        <v>0</v>
      </c>
      <c r="H965" s="110"/>
      <c r="I965" s="213"/>
      <c r="J965" s="207"/>
      <c r="K965" s="110"/>
      <c r="L965" s="118"/>
      <c r="M965" s="292"/>
    </row>
    <row r="966" spans="1:13" ht="93" customHeight="1">
      <c r="A966" s="108"/>
      <c r="B966" s="110"/>
      <c r="C966" s="27" t="s">
        <v>31</v>
      </c>
      <c r="D966" s="28">
        <v>0</v>
      </c>
      <c r="E966" s="30">
        <v>0</v>
      </c>
      <c r="F966" s="30">
        <v>0</v>
      </c>
      <c r="G966" s="31">
        <f t="shared" si="67"/>
        <v>0</v>
      </c>
      <c r="H966" s="110"/>
      <c r="I966" s="214"/>
      <c r="J966" s="208"/>
      <c r="K966" s="110"/>
      <c r="L966" s="119"/>
      <c r="M966" s="292"/>
    </row>
    <row r="967" spans="1:13" ht="18.95" customHeight="1">
      <c r="A967" s="107" t="s">
        <v>642</v>
      </c>
      <c r="B967" s="120" t="s">
        <v>643</v>
      </c>
      <c r="C967" s="27" t="s">
        <v>14</v>
      </c>
      <c r="D967" s="28">
        <f>SUM(D968:D971)</f>
        <v>110688.4</v>
      </c>
      <c r="E967" s="30">
        <f>SUM(E968:E971)</f>
        <v>43617.612679999998</v>
      </c>
      <c r="F967" s="30">
        <f>SUM(F968:F971)</f>
        <v>35514.054690000004</v>
      </c>
      <c r="G967" s="29">
        <f t="shared" si="67"/>
        <v>0.32084712300475937</v>
      </c>
      <c r="H967" s="109" t="s">
        <v>644</v>
      </c>
      <c r="I967" s="206" t="s">
        <v>645</v>
      </c>
      <c r="J967" s="206" t="s">
        <v>701</v>
      </c>
      <c r="K967" s="109" t="s">
        <v>584</v>
      </c>
      <c r="L967" s="104" t="s">
        <v>180</v>
      </c>
      <c r="M967" s="292">
        <v>805</v>
      </c>
    </row>
    <row r="968" spans="1:13" ht="18.95" customHeight="1">
      <c r="A968" s="108"/>
      <c r="B968" s="110"/>
      <c r="C968" s="27" t="s">
        <v>17</v>
      </c>
      <c r="D968" s="28">
        <v>110688.4</v>
      </c>
      <c r="E968" s="30">
        <v>43617.612679999998</v>
      </c>
      <c r="F968" s="30">
        <v>35514.054690000004</v>
      </c>
      <c r="G968" s="31">
        <f t="shared" si="67"/>
        <v>0.32084712300475937</v>
      </c>
      <c r="H968" s="110"/>
      <c r="I968" s="207"/>
      <c r="J968" s="207"/>
      <c r="K968" s="110"/>
      <c r="L968" s="105"/>
      <c r="M968" s="292"/>
    </row>
    <row r="969" spans="1:13" ht="18.95" customHeight="1">
      <c r="A969" s="108"/>
      <c r="B969" s="110"/>
      <c r="C969" s="27" t="s">
        <v>19</v>
      </c>
      <c r="D969" s="28">
        <v>0</v>
      </c>
      <c r="E969" s="30">
        <v>0</v>
      </c>
      <c r="F969" s="30">
        <v>0</v>
      </c>
      <c r="G969" s="31">
        <f t="shared" si="67"/>
        <v>0</v>
      </c>
      <c r="H969" s="110"/>
      <c r="I969" s="207"/>
      <c r="J969" s="207"/>
      <c r="K969" s="110"/>
      <c r="L969" s="105"/>
      <c r="M969" s="292"/>
    </row>
    <row r="970" spans="1:13" ht="18.95" customHeight="1">
      <c r="A970" s="108"/>
      <c r="B970" s="110"/>
      <c r="C970" s="27" t="s">
        <v>21</v>
      </c>
      <c r="D970" s="28">
        <v>0</v>
      </c>
      <c r="E970" s="30">
        <v>0</v>
      </c>
      <c r="F970" s="30">
        <v>0</v>
      </c>
      <c r="G970" s="31">
        <f t="shared" si="67"/>
        <v>0</v>
      </c>
      <c r="H970" s="110"/>
      <c r="I970" s="207"/>
      <c r="J970" s="207"/>
      <c r="K970" s="110"/>
      <c r="L970" s="105"/>
      <c r="M970" s="292"/>
    </row>
    <row r="971" spans="1:13" ht="18.95" customHeight="1">
      <c r="A971" s="108"/>
      <c r="B971" s="110"/>
      <c r="C971" s="27" t="s">
        <v>31</v>
      </c>
      <c r="D971" s="28">
        <v>0</v>
      </c>
      <c r="E971" s="30">
        <v>0</v>
      </c>
      <c r="F971" s="30">
        <v>0</v>
      </c>
      <c r="G971" s="31">
        <f t="shared" si="67"/>
        <v>0</v>
      </c>
      <c r="H971" s="110"/>
      <c r="I971" s="208"/>
      <c r="J971" s="208"/>
      <c r="K971" s="110"/>
      <c r="L971" s="106"/>
      <c r="M971" s="292"/>
    </row>
    <row r="972" spans="1:13" ht="18.95" customHeight="1">
      <c r="A972" s="107" t="s">
        <v>646</v>
      </c>
      <c r="B972" s="109" t="s">
        <v>647</v>
      </c>
      <c r="C972" s="27" t="s">
        <v>14</v>
      </c>
      <c r="D972" s="28">
        <f>SUM(D973:D976)</f>
        <v>2000</v>
      </c>
      <c r="E972" s="30">
        <f>SUM(E973:E976)</f>
        <v>2000</v>
      </c>
      <c r="F972" s="30">
        <f>SUM(F973:F976)</f>
        <v>2000</v>
      </c>
      <c r="G972" s="29">
        <f t="shared" si="67"/>
        <v>1</v>
      </c>
      <c r="H972" s="109" t="s">
        <v>648</v>
      </c>
      <c r="I972" s="209" t="s">
        <v>836</v>
      </c>
      <c r="J972" s="206" t="s">
        <v>702</v>
      </c>
      <c r="K972" s="109" t="s">
        <v>649</v>
      </c>
      <c r="L972" s="104" t="s">
        <v>717</v>
      </c>
      <c r="M972" s="292">
        <v>805</v>
      </c>
    </row>
    <row r="973" spans="1:13" ht="18.95" customHeight="1">
      <c r="A973" s="108"/>
      <c r="B973" s="110"/>
      <c r="C973" s="27" t="s">
        <v>17</v>
      </c>
      <c r="D973" s="28">
        <v>2000</v>
      </c>
      <c r="E973" s="30">
        <v>2000</v>
      </c>
      <c r="F973" s="30">
        <v>2000</v>
      </c>
      <c r="G973" s="31">
        <f t="shared" si="67"/>
        <v>1</v>
      </c>
      <c r="H973" s="110"/>
      <c r="I973" s="210"/>
      <c r="J973" s="207"/>
      <c r="K973" s="110"/>
      <c r="L973" s="105"/>
      <c r="M973" s="292"/>
    </row>
    <row r="974" spans="1:13" ht="18.95" customHeight="1">
      <c r="A974" s="108"/>
      <c r="B974" s="110"/>
      <c r="C974" s="27" t="s">
        <v>19</v>
      </c>
      <c r="D974" s="28">
        <v>0</v>
      </c>
      <c r="E974" s="30">
        <v>0</v>
      </c>
      <c r="F974" s="30">
        <v>0</v>
      </c>
      <c r="G974" s="31">
        <f t="shared" si="67"/>
        <v>0</v>
      </c>
      <c r="H974" s="110"/>
      <c r="I974" s="210"/>
      <c r="J974" s="207"/>
      <c r="K974" s="110"/>
      <c r="L974" s="105"/>
      <c r="M974" s="292"/>
    </row>
    <row r="975" spans="1:13" ht="18.95" customHeight="1">
      <c r="A975" s="108"/>
      <c r="B975" s="110"/>
      <c r="C975" s="27" t="s">
        <v>21</v>
      </c>
      <c r="D975" s="28">
        <v>0</v>
      </c>
      <c r="E975" s="30">
        <v>0</v>
      </c>
      <c r="F975" s="30">
        <v>0</v>
      </c>
      <c r="G975" s="31">
        <f t="shared" si="67"/>
        <v>0</v>
      </c>
      <c r="H975" s="110"/>
      <c r="I975" s="210"/>
      <c r="J975" s="207"/>
      <c r="K975" s="110"/>
      <c r="L975" s="105"/>
      <c r="M975" s="292"/>
    </row>
    <row r="976" spans="1:13" ht="18.95" customHeight="1">
      <c r="A976" s="108"/>
      <c r="B976" s="110"/>
      <c r="C976" s="27" t="s">
        <v>31</v>
      </c>
      <c r="D976" s="28">
        <v>0</v>
      </c>
      <c r="E976" s="30">
        <v>0</v>
      </c>
      <c r="F976" s="30">
        <v>0</v>
      </c>
      <c r="G976" s="31">
        <f t="shared" si="67"/>
        <v>0</v>
      </c>
      <c r="H976" s="110"/>
      <c r="I976" s="211"/>
      <c r="J976" s="208"/>
      <c r="K976" s="110"/>
      <c r="L976" s="106"/>
      <c r="M976" s="292"/>
    </row>
    <row r="977" spans="1:13" ht="18.95" customHeight="1">
      <c r="A977" s="107" t="s">
        <v>650</v>
      </c>
      <c r="B977" s="109" t="s">
        <v>651</v>
      </c>
      <c r="C977" s="27" t="s">
        <v>14</v>
      </c>
      <c r="D977" s="28">
        <f>SUM(D978:D981)</f>
        <v>6032.1</v>
      </c>
      <c r="E977" s="30">
        <f>SUM(E978:E981)</f>
        <v>1945.7191800000001</v>
      </c>
      <c r="F977" s="30">
        <f>SUM(F978:F981)</f>
        <v>1819.7530000000002</v>
      </c>
      <c r="G977" s="29">
        <f t="shared" si="67"/>
        <v>0.30167818835894633</v>
      </c>
      <c r="H977" s="216" t="s">
        <v>652</v>
      </c>
      <c r="I977" s="111" t="s">
        <v>653</v>
      </c>
      <c r="J977" s="206" t="s">
        <v>701</v>
      </c>
      <c r="K977" s="109" t="s">
        <v>584</v>
      </c>
      <c r="L977" s="104" t="s">
        <v>817</v>
      </c>
      <c r="M977" s="292">
        <v>805</v>
      </c>
    </row>
    <row r="978" spans="1:13" ht="18.95" customHeight="1">
      <c r="A978" s="108"/>
      <c r="B978" s="110"/>
      <c r="C978" s="27" t="s">
        <v>17</v>
      </c>
      <c r="D978" s="28">
        <v>786.8</v>
      </c>
      <c r="E978" s="30">
        <v>325.25</v>
      </c>
      <c r="F978" s="30">
        <v>217.45100000000002</v>
      </c>
      <c r="G978" s="31">
        <f t="shared" si="67"/>
        <v>0.27637391967463149</v>
      </c>
      <c r="H978" s="217"/>
      <c r="I978" s="112"/>
      <c r="J978" s="207"/>
      <c r="K978" s="110"/>
      <c r="L978" s="105"/>
      <c r="M978" s="292"/>
    </row>
    <row r="979" spans="1:13" ht="18.95" customHeight="1">
      <c r="A979" s="108"/>
      <c r="B979" s="110"/>
      <c r="C979" s="27" t="s">
        <v>19</v>
      </c>
      <c r="D979" s="28">
        <v>5245.3</v>
      </c>
      <c r="E979" s="30">
        <v>1620.4691800000001</v>
      </c>
      <c r="F979" s="30">
        <v>1602.3020000000001</v>
      </c>
      <c r="G979" s="31">
        <f t="shared" si="67"/>
        <v>0.30547385278249101</v>
      </c>
      <c r="H979" s="217"/>
      <c r="I979" s="112"/>
      <c r="J979" s="207"/>
      <c r="K979" s="110"/>
      <c r="L979" s="105"/>
      <c r="M979" s="292"/>
    </row>
    <row r="980" spans="1:13" ht="18.95" customHeight="1">
      <c r="A980" s="108"/>
      <c r="B980" s="110"/>
      <c r="C980" s="27" t="s">
        <v>21</v>
      </c>
      <c r="D980" s="28">
        <v>0</v>
      </c>
      <c r="E980" s="30">
        <v>0</v>
      </c>
      <c r="F980" s="30">
        <v>0</v>
      </c>
      <c r="G980" s="31">
        <f t="shared" si="67"/>
        <v>0</v>
      </c>
      <c r="H980" s="217"/>
      <c r="I980" s="112"/>
      <c r="J980" s="207"/>
      <c r="K980" s="110"/>
      <c r="L980" s="105"/>
      <c r="M980" s="292"/>
    </row>
    <row r="981" spans="1:13" ht="18.95" customHeight="1">
      <c r="A981" s="108"/>
      <c r="B981" s="110"/>
      <c r="C981" s="27" t="s">
        <v>31</v>
      </c>
      <c r="D981" s="28">
        <v>0</v>
      </c>
      <c r="E981" s="30">
        <v>0</v>
      </c>
      <c r="F981" s="30">
        <v>0</v>
      </c>
      <c r="G981" s="31">
        <f t="shared" si="67"/>
        <v>0</v>
      </c>
      <c r="H981" s="217"/>
      <c r="I981" s="113"/>
      <c r="J981" s="208"/>
      <c r="K981" s="110"/>
      <c r="L981" s="106"/>
      <c r="M981" s="292"/>
    </row>
    <row r="982" spans="1:13" ht="18.95" hidden="1" customHeight="1">
      <c r="A982" s="107" t="s">
        <v>654</v>
      </c>
      <c r="B982" s="109" t="s">
        <v>655</v>
      </c>
      <c r="C982" s="27" t="s">
        <v>14</v>
      </c>
      <c r="D982" s="28">
        <f>SUM(D983:D986)</f>
        <v>0</v>
      </c>
      <c r="E982" s="30">
        <f>SUM(E983:E986)</f>
        <v>0</v>
      </c>
      <c r="F982" s="30">
        <f>SUM(F983:F986)</f>
        <v>0</v>
      </c>
      <c r="G982" s="29">
        <f>IF(D982&lt;&gt;0,F982/D982,0)</f>
        <v>0</v>
      </c>
      <c r="H982" s="109" t="s">
        <v>656</v>
      </c>
      <c r="I982" s="215"/>
      <c r="J982" s="215"/>
      <c r="K982" s="218" t="s">
        <v>584</v>
      </c>
      <c r="L982" s="186"/>
    </row>
    <row r="983" spans="1:13" ht="18.95" hidden="1" customHeight="1">
      <c r="A983" s="108"/>
      <c r="B983" s="110"/>
      <c r="C983" s="27" t="s">
        <v>17</v>
      </c>
      <c r="D983" s="28">
        <v>0</v>
      </c>
      <c r="E983" s="30">
        <v>0</v>
      </c>
      <c r="F983" s="30">
        <v>0</v>
      </c>
      <c r="G983" s="31">
        <f>IF(D983&lt;&gt;0,F983/D983,0)</f>
        <v>0</v>
      </c>
      <c r="H983" s="110"/>
      <c r="I983" s="215"/>
      <c r="J983" s="215"/>
      <c r="K983" s="218"/>
      <c r="L983" s="186"/>
    </row>
    <row r="984" spans="1:13" ht="18.95" hidden="1" customHeight="1">
      <c r="A984" s="108"/>
      <c r="B984" s="110"/>
      <c r="C984" s="27" t="s">
        <v>19</v>
      </c>
      <c r="D984" s="28">
        <v>0</v>
      </c>
      <c r="E984" s="30">
        <v>0</v>
      </c>
      <c r="F984" s="30">
        <v>0</v>
      </c>
      <c r="G984" s="31">
        <f>IF(D984&lt;&gt;0,F984/D984,0)</f>
        <v>0</v>
      </c>
      <c r="H984" s="110"/>
      <c r="I984" s="215"/>
      <c r="J984" s="215"/>
      <c r="K984" s="218"/>
      <c r="L984" s="186"/>
    </row>
    <row r="985" spans="1:13" ht="18.95" hidden="1" customHeight="1">
      <c r="A985" s="108"/>
      <c r="B985" s="110"/>
      <c r="C985" s="27" t="s">
        <v>21</v>
      </c>
      <c r="D985" s="28">
        <v>0</v>
      </c>
      <c r="E985" s="30">
        <v>0</v>
      </c>
      <c r="F985" s="30">
        <v>0</v>
      </c>
      <c r="G985" s="31">
        <f>IF(D985&lt;&gt;0,F985/D985,0)</f>
        <v>0</v>
      </c>
      <c r="H985" s="110"/>
      <c r="I985" s="215"/>
      <c r="J985" s="215"/>
      <c r="K985" s="218"/>
      <c r="L985" s="186"/>
    </row>
    <row r="986" spans="1:13" ht="18.95" hidden="1" customHeight="1">
      <c r="A986" s="108"/>
      <c r="B986" s="110"/>
      <c r="C986" s="27" t="s">
        <v>31</v>
      </c>
      <c r="D986" s="28">
        <v>0</v>
      </c>
      <c r="E986" s="30">
        <v>0</v>
      </c>
      <c r="F986" s="30">
        <v>0</v>
      </c>
      <c r="G986" s="31">
        <f>IF(D986&lt;&gt;0,F986/D986,0)</f>
        <v>0</v>
      </c>
      <c r="H986" s="110"/>
      <c r="I986" s="215"/>
      <c r="J986" s="215"/>
      <c r="K986" s="218"/>
      <c r="L986" s="186"/>
    </row>
    <row r="987" spans="1:13" ht="18.95" customHeight="1">
      <c r="A987" s="123" t="s">
        <v>657</v>
      </c>
      <c r="B987" s="123" t="s">
        <v>658</v>
      </c>
      <c r="C987" s="40" t="s">
        <v>14</v>
      </c>
      <c r="D987" s="41">
        <f>SUM(D988:D991)</f>
        <v>7047921.8999999994</v>
      </c>
      <c r="E987" s="42">
        <f>SUM(E988:E991)</f>
        <v>3552045.6979999999</v>
      </c>
      <c r="F987" s="42">
        <f>SUM(F988:F991)</f>
        <v>3552045.6979999999</v>
      </c>
      <c r="G987" s="43">
        <f t="shared" ref="G987:G1016" si="68">IF(D987&lt;&gt;0,F987/D987,0)</f>
        <v>0.50398482678986556</v>
      </c>
      <c r="H987" s="121"/>
      <c r="I987" s="65" t="s">
        <v>15</v>
      </c>
      <c r="J987" s="65">
        <v>3</v>
      </c>
      <c r="K987" s="123" t="s">
        <v>659</v>
      </c>
      <c r="L987" s="125"/>
      <c r="M987" s="292">
        <v>805</v>
      </c>
    </row>
    <row r="988" spans="1:13" ht="18.95" customHeight="1">
      <c r="A988" s="124"/>
      <c r="B988" s="124"/>
      <c r="C988" s="40" t="s">
        <v>17</v>
      </c>
      <c r="D988" s="41">
        <f>SUM(D993,D998,D1003,D1008,D1013)</f>
        <v>6991752.3999999994</v>
      </c>
      <c r="E988" s="47">
        <f>E993+E998+E1003+E1008+E1013</f>
        <v>3495876.1979999999</v>
      </c>
      <c r="F988" s="47">
        <f>F993+F998+F1003+F1008+F1013</f>
        <v>3495876.1979999999</v>
      </c>
      <c r="G988" s="45">
        <f t="shared" si="68"/>
        <v>0.49999999971394871</v>
      </c>
      <c r="H988" s="122"/>
      <c r="I988" s="65" t="s">
        <v>18</v>
      </c>
      <c r="J988" s="65">
        <f>COUNTIF($J$992:$J$1016,"да")</f>
        <v>0</v>
      </c>
      <c r="K988" s="124"/>
      <c r="L988" s="126"/>
      <c r="M988" s="292"/>
    </row>
    <row r="989" spans="1:13" ht="18.95" customHeight="1">
      <c r="A989" s="124"/>
      <c r="B989" s="124"/>
      <c r="C989" s="40" t="s">
        <v>19</v>
      </c>
      <c r="D989" s="41">
        <f>SUM(D994,D999,D1004,D1009,D1014)</f>
        <v>56169.5</v>
      </c>
      <c r="E989" s="47">
        <f t="shared" ref="E989:F991" si="69">E994+E999+E1004+E1009+E1014</f>
        <v>56169.5</v>
      </c>
      <c r="F989" s="47">
        <f t="shared" si="69"/>
        <v>56169.5</v>
      </c>
      <c r="G989" s="45">
        <f t="shared" si="68"/>
        <v>1</v>
      </c>
      <c r="H989" s="122"/>
      <c r="I989" s="65" t="s">
        <v>20</v>
      </c>
      <c r="J989" s="65">
        <f>COUNTIF($J$992:$J$1016,"частично")</f>
        <v>3</v>
      </c>
      <c r="K989" s="124"/>
      <c r="L989" s="126"/>
      <c r="M989" s="292"/>
    </row>
    <row r="990" spans="1:13" ht="18.95" customHeight="1">
      <c r="A990" s="124"/>
      <c r="B990" s="124"/>
      <c r="C990" s="40" t="s">
        <v>21</v>
      </c>
      <c r="D990" s="41">
        <v>0</v>
      </c>
      <c r="E990" s="47">
        <f t="shared" si="69"/>
        <v>0</v>
      </c>
      <c r="F990" s="47">
        <f t="shared" si="69"/>
        <v>0</v>
      </c>
      <c r="G990" s="45">
        <f t="shared" si="68"/>
        <v>0</v>
      </c>
      <c r="H990" s="122"/>
      <c r="I990" s="65" t="s">
        <v>22</v>
      </c>
      <c r="J990" s="65">
        <f>COUNTIF($J$992:$J$1016,"нет")</f>
        <v>0</v>
      </c>
      <c r="K990" s="124"/>
      <c r="L990" s="126"/>
      <c r="M990" s="292"/>
    </row>
    <row r="991" spans="1:13" ht="18.95" customHeight="1">
      <c r="A991" s="124"/>
      <c r="B991" s="124"/>
      <c r="C991" s="40" t="s">
        <v>31</v>
      </c>
      <c r="D991" s="41">
        <f>SUM(D996,D1001,D1006,D1011,D1016)</f>
        <v>0</v>
      </c>
      <c r="E991" s="47">
        <f t="shared" si="69"/>
        <v>0</v>
      </c>
      <c r="F991" s="47">
        <f t="shared" si="69"/>
        <v>0</v>
      </c>
      <c r="G991" s="45">
        <f t="shared" si="68"/>
        <v>0</v>
      </c>
      <c r="H991" s="122"/>
      <c r="I991" s="65" t="s">
        <v>24</v>
      </c>
      <c r="J991" s="66">
        <f>IF(J987=0,0,(J988+J989*0.5)/J987)</f>
        <v>0.5</v>
      </c>
      <c r="K991" s="124"/>
      <c r="L991" s="127"/>
      <c r="M991" s="292"/>
    </row>
    <row r="992" spans="1:13" ht="18.95" customHeight="1">
      <c r="A992" s="219" t="s">
        <v>660</v>
      </c>
      <c r="B992" s="219" t="s">
        <v>661</v>
      </c>
      <c r="C992" s="27" t="s">
        <v>14</v>
      </c>
      <c r="D992" s="28">
        <f>SUM(D993:D996)</f>
        <v>6436593.5999999996</v>
      </c>
      <c r="E992" s="30">
        <f>SUM(E993:E996)</f>
        <v>3218296.8</v>
      </c>
      <c r="F992" s="30">
        <f>SUM(F993:F996)</f>
        <v>3218296.8</v>
      </c>
      <c r="G992" s="29">
        <f t="shared" si="68"/>
        <v>0.5</v>
      </c>
      <c r="H992" s="218" t="s">
        <v>662</v>
      </c>
      <c r="I992" s="209" t="s">
        <v>774</v>
      </c>
      <c r="J992" s="206" t="s">
        <v>701</v>
      </c>
      <c r="K992" s="219" t="s">
        <v>659</v>
      </c>
      <c r="L992" s="104" t="s">
        <v>717</v>
      </c>
      <c r="M992" s="292">
        <v>805</v>
      </c>
    </row>
    <row r="993" spans="1:13" ht="18.95" customHeight="1">
      <c r="A993" s="219"/>
      <c r="B993" s="219"/>
      <c r="C993" s="27" t="s">
        <v>17</v>
      </c>
      <c r="D993" s="28">
        <f>6436593.6</f>
        <v>6436593.5999999996</v>
      </c>
      <c r="E993" s="30">
        <v>3218296.8</v>
      </c>
      <c r="F993" s="30">
        <v>3218296.8</v>
      </c>
      <c r="G993" s="31">
        <f t="shared" si="68"/>
        <v>0.5</v>
      </c>
      <c r="H993" s="218"/>
      <c r="I993" s="210"/>
      <c r="J993" s="207"/>
      <c r="K993" s="219"/>
      <c r="L993" s="105"/>
      <c r="M993" s="292"/>
    </row>
    <row r="994" spans="1:13" ht="18.95" customHeight="1">
      <c r="A994" s="219"/>
      <c r="B994" s="219"/>
      <c r="C994" s="27" t="s">
        <v>19</v>
      </c>
      <c r="D994" s="28">
        <v>0</v>
      </c>
      <c r="E994" s="30">
        <v>0</v>
      </c>
      <c r="F994" s="30">
        <v>0</v>
      </c>
      <c r="G994" s="31">
        <f t="shared" si="68"/>
        <v>0</v>
      </c>
      <c r="H994" s="218"/>
      <c r="I994" s="210"/>
      <c r="J994" s="207"/>
      <c r="K994" s="219"/>
      <c r="L994" s="105"/>
      <c r="M994" s="292"/>
    </row>
    <row r="995" spans="1:13" ht="18.95" customHeight="1">
      <c r="A995" s="219"/>
      <c r="B995" s="219"/>
      <c r="C995" s="27" t="s">
        <v>21</v>
      </c>
      <c r="D995" s="28">
        <v>0</v>
      </c>
      <c r="E995" s="30">
        <v>0</v>
      </c>
      <c r="F995" s="30">
        <v>0</v>
      </c>
      <c r="G995" s="31">
        <f t="shared" si="68"/>
        <v>0</v>
      </c>
      <c r="H995" s="218"/>
      <c r="I995" s="210"/>
      <c r="J995" s="207"/>
      <c r="K995" s="219"/>
      <c r="L995" s="105"/>
      <c r="M995" s="292"/>
    </row>
    <row r="996" spans="1:13" ht="18.95" customHeight="1">
      <c r="A996" s="219"/>
      <c r="B996" s="219"/>
      <c r="C996" s="27" t="s">
        <v>31</v>
      </c>
      <c r="D996" s="28">
        <v>0</v>
      </c>
      <c r="E996" s="30">
        <v>0</v>
      </c>
      <c r="F996" s="30">
        <v>0</v>
      </c>
      <c r="G996" s="31">
        <f t="shared" si="68"/>
        <v>0</v>
      </c>
      <c r="H996" s="218"/>
      <c r="I996" s="211"/>
      <c r="J996" s="208"/>
      <c r="K996" s="219"/>
      <c r="L996" s="106"/>
      <c r="M996" s="292"/>
    </row>
    <row r="997" spans="1:13" ht="18.95" customHeight="1">
      <c r="A997" s="219" t="s">
        <v>663</v>
      </c>
      <c r="B997" s="219" t="s">
        <v>664</v>
      </c>
      <c r="C997" s="27" t="s">
        <v>14</v>
      </c>
      <c r="D997" s="76">
        <f>SUM(D998:D1001)</f>
        <v>555158.80000000005</v>
      </c>
      <c r="E997" s="71">
        <f>SUM(E998:E1001)</f>
        <v>277579.39799999999</v>
      </c>
      <c r="F997" s="71">
        <f>SUM(F998:F1001)</f>
        <v>277579.39799999999</v>
      </c>
      <c r="G997" s="100">
        <f t="shared" si="68"/>
        <v>0.49999999639742709</v>
      </c>
      <c r="H997" s="223" t="s">
        <v>665</v>
      </c>
      <c r="I997" s="203" t="s">
        <v>837</v>
      </c>
      <c r="J997" s="220" t="s">
        <v>701</v>
      </c>
      <c r="K997" s="224" t="s">
        <v>659</v>
      </c>
      <c r="L997" s="117" t="s">
        <v>717</v>
      </c>
      <c r="M997" s="292">
        <v>805</v>
      </c>
    </row>
    <row r="998" spans="1:13" ht="18.95" customHeight="1">
      <c r="A998" s="219"/>
      <c r="B998" s="219"/>
      <c r="C998" s="27" t="s">
        <v>17</v>
      </c>
      <c r="D998" s="76">
        <v>555158.80000000005</v>
      </c>
      <c r="E998" s="71">
        <v>277579.39799999999</v>
      </c>
      <c r="F998" s="71">
        <v>277579.39799999999</v>
      </c>
      <c r="G998" s="101">
        <f t="shared" si="68"/>
        <v>0.49999999639742709</v>
      </c>
      <c r="H998" s="223"/>
      <c r="I998" s="204"/>
      <c r="J998" s="221"/>
      <c r="K998" s="224"/>
      <c r="L998" s="118"/>
      <c r="M998" s="292"/>
    </row>
    <row r="999" spans="1:13" ht="18.95" customHeight="1">
      <c r="A999" s="219"/>
      <c r="B999" s="219"/>
      <c r="C999" s="27" t="s">
        <v>19</v>
      </c>
      <c r="D999" s="76">
        <v>0</v>
      </c>
      <c r="E999" s="71">
        <v>0</v>
      </c>
      <c r="F999" s="71">
        <v>0</v>
      </c>
      <c r="G999" s="101">
        <f t="shared" si="68"/>
        <v>0</v>
      </c>
      <c r="H999" s="223"/>
      <c r="I999" s="204"/>
      <c r="J999" s="221"/>
      <c r="K999" s="224"/>
      <c r="L999" s="118"/>
      <c r="M999" s="292"/>
    </row>
    <row r="1000" spans="1:13" ht="18.95" customHeight="1">
      <c r="A1000" s="219"/>
      <c r="B1000" s="219"/>
      <c r="C1000" s="27" t="s">
        <v>21</v>
      </c>
      <c r="D1000" s="76">
        <v>0</v>
      </c>
      <c r="E1000" s="71">
        <v>0</v>
      </c>
      <c r="F1000" s="71">
        <v>0</v>
      </c>
      <c r="G1000" s="101">
        <f t="shared" si="68"/>
        <v>0</v>
      </c>
      <c r="H1000" s="223"/>
      <c r="I1000" s="204"/>
      <c r="J1000" s="221"/>
      <c r="K1000" s="224"/>
      <c r="L1000" s="118"/>
      <c r="M1000" s="292"/>
    </row>
    <row r="1001" spans="1:13" ht="18.95" customHeight="1">
      <c r="A1001" s="219"/>
      <c r="B1001" s="219"/>
      <c r="C1001" s="27" t="s">
        <v>31</v>
      </c>
      <c r="D1001" s="76">
        <v>0</v>
      </c>
      <c r="E1001" s="71">
        <v>0</v>
      </c>
      <c r="F1001" s="71">
        <v>0</v>
      </c>
      <c r="G1001" s="101">
        <f t="shared" si="68"/>
        <v>0</v>
      </c>
      <c r="H1001" s="223"/>
      <c r="I1001" s="205"/>
      <c r="J1001" s="222"/>
      <c r="K1001" s="224"/>
      <c r="L1001" s="119"/>
      <c r="M1001" s="292"/>
    </row>
    <row r="1002" spans="1:13" ht="18.95" hidden="1" customHeight="1">
      <c r="A1002" s="219" t="s">
        <v>666</v>
      </c>
      <c r="B1002" s="219" t="s">
        <v>667</v>
      </c>
      <c r="C1002" s="27" t="s">
        <v>14</v>
      </c>
      <c r="D1002" s="76">
        <f>SUM(D1003:D1006)</f>
        <v>0</v>
      </c>
      <c r="E1002" s="71">
        <f>SUM(E1003:E1006)</f>
        <v>0</v>
      </c>
      <c r="F1002" s="71">
        <f>SUM(F1003:F1006)</f>
        <v>0</v>
      </c>
      <c r="G1002" s="100">
        <f t="shared" si="68"/>
        <v>0</v>
      </c>
      <c r="H1002" s="223" t="s">
        <v>668</v>
      </c>
      <c r="I1002" s="203" t="s">
        <v>775</v>
      </c>
      <c r="J1002" s="220"/>
      <c r="K1002" s="224" t="s">
        <v>659</v>
      </c>
      <c r="L1002" s="117" t="s">
        <v>776</v>
      </c>
    </row>
    <row r="1003" spans="1:13" ht="18.95" hidden="1" customHeight="1">
      <c r="A1003" s="219"/>
      <c r="B1003" s="219"/>
      <c r="C1003" s="27" t="s">
        <v>17</v>
      </c>
      <c r="D1003" s="76">
        <v>0</v>
      </c>
      <c r="E1003" s="71">
        <v>0</v>
      </c>
      <c r="F1003" s="71">
        <v>0</v>
      </c>
      <c r="G1003" s="101">
        <f t="shared" si="68"/>
        <v>0</v>
      </c>
      <c r="H1003" s="223"/>
      <c r="I1003" s="204"/>
      <c r="J1003" s="221"/>
      <c r="K1003" s="224"/>
      <c r="L1003" s="118"/>
    </row>
    <row r="1004" spans="1:13" ht="18.95" hidden="1" customHeight="1">
      <c r="A1004" s="219"/>
      <c r="B1004" s="219"/>
      <c r="C1004" s="27" t="s">
        <v>19</v>
      </c>
      <c r="D1004" s="76">
        <v>0</v>
      </c>
      <c r="E1004" s="71">
        <v>0</v>
      </c>
      <c r="F1004" s="71">
        <v>0</v>
      </c>
      <c r="G1004" s="101">
        <f t="shared" si="68"/>
        <v>0</v>
      </c>
      <c r="H1004" s="223"/>
      <c r="I1004" s="204"/>
      <c r="J1004" s="221"/>
      <c r="K1004" s="224"/>
      <c r="L1004" s="118"/>
    </row>
    <row r="1005" spans="1:13" ht="18.95" hidden="1" customHeight="1">
      <c r="A1005" s="219"/>
      <c r="B1005" s="219"/>
      <c r="C1005" s="27" t="s">
        <v>21</v>
      </c>
      <c r="D1005" s="76">
        <v>0</v>
      </c>
      <c r="E1005" s="71">
        <v>0</v>
      </c>
      <c r="F1005" s="71">
        <v>0</v>
      </c>
      <c r="G1005" s="101">
        <f t="shared" si="68"/>
        <v>0</v>
      </c>
      <c r="H1005" s="223"/>
      <c r="I1005" s="204"/>
      <c r="J1005" s="221"/>
      <c r="K1005" s="224"/>
      <c r="L1005" s="118"/>
    </row>
    <row r="1006" spans="1:13" ht="18.95" hidden="1" customHeight="1">
      <c r="A1006" s="219"/>
      <c r="B1006" s="219"/>
      <c r="C1006" s="27" t="s">
        <v>31</v>
      </c>
      <c r="D1006" s="76">
        <v>0</v>
      </c>
      <c r="E1006" s="71">
        <v>0</v>
      </c>
      <c r="F1006" s="71">
        <v>0</v>
      </c>
      <c r="G1006" s="101">
        <f t="shared" si="68"/>
        <v>0</v>
      </c>
      <c r="H1006" s="223"/>
      <c r="I1006" s="205"/>
      <c r="J1006" s="222"/>
      <c r="K1006" s="224"/>
      <c r="L1006" s="119"/>
    </row>
    <row r="1007" spans="1:13" ht="18.95" hidden="1" customHeight="1">
      <c r="A1007" s="219" t="s">
        <v>669</v>
      </c>
      <c r="B1007" s="219" t="s">
        <v>670</v>
      </c>
      <c r="C1007" s="27" t="s">
        <v>14</v>
      </c>
      <c r="D1007" s="76">
        <f>SUM(D1008:D1011)</f>
        <v>0</v>
      </c>
      <c r="E1007" s="71">
        <f>SUM(E1008:E1011)</f>
        <v>0</v>
      </c>
      <c r="F1007" s="71">
        <f>SUM(F1008:F1011)</f>
        <v>0</v>
      </c>
      <c r="G1007" s="100">
        <f t="shared" si="68"/>
        <v>0</v>
      </c>
      <c r="H1007" s="223" t="s">
        <v>671</v>
      </c>
      <c r="I1007" s="220"/>
      <c r="J1007" s="220"/>
      <c r="K1007" s="224" t="s">
        <v>659</v>
      </c>
      <c r="L1007" s="117"/>
    </row>
    <row r="1008" spans="1:13" ht="18.95" hidden="1" customHeight="1">
      <c r="A1008" s="219"/>
      <c r="B1008" s="219"/>
      <c r="C1008" s="27" t="s">
        <v>17</v>
      </c>
      <c r="D1008" s="76">
        <v>0</v>
      </c>
      <c r="E1008" s="71">
        <v>0</v>
      </c>
      <c r="F1008" s="71">
        <v>0</v>
      </c>
      <c r="G1008" s="101">
        <f t="shared" si="68"/>
        <v>0</v>
      </c>
      <c r="H1008" s="223"/>
      <c r="I1008" s="221"/>
      <c r="J1008" s="221"/>
      <c r="K1008" s="224"/>
      <c r="L1008" s="118"/>
    </row>
    <row r="1009" spans="1:13" ht="18.95" hidden="1" customHeight="1">
      <c r="A1009" s="219"/>
      <c r="B1009" s="219"/>
      <c r="C1009" s="27" t="s">
        <v>19</v>
      </c>
      <c r="D1009" s="76">
        <v>0</v>
      </c>
      <c r="E1009" s="71">
        <v>0</v>
      </c>
      <c r="F1009" s="71">
        <v>0</v>
      </c>
      <c r="G1009" s="101">
        <f t="shared" si="68"/>
        <v>0</v>
      </c>
      <c r="H1009" s="223"/>
      <c r="I1009" s="221"/>
      <c r="J1009" s="221"/>
      <c r="K1009" s="224"/>
      <c r="L1009" s="118"/>
    </row>
    <row r="1010" spans="1:13" ht="18.95" hidden="1" customHeight="1">
      <c r="A1010" s="219"/>
      <c r="B1010" s="219"/>
      <c r="C1010" s="27" t="s">
        <v>21</v>
      </c>
      <c r="D1010" s="76">
        <v>0</v>
      </c>
      <c r="E1010" s="71">
        <v>0</v>
      </c>
      <c r="F1010" s="71">
        <v>0</v>
      </c>
      <c r="G1010" s="101">
        <f t="shared" si="68"/>
        <v>0</v>
      </c>
      <c r="H1010" s="223"/>
      <c r="I1010" s="221"/>
      <c r="J1010" s="221"/>
      <c r="K1010" s="224"/>
      <c r="L1010" s="118"/>
    </row>
    <row r="1011" spans="1:13" ht="18.95" hidden="1" customHeight="1">
      <c r="A1011" s="219"/>
      <c r="B1011" s="219"/>
      <c r="C1011" s="27" t="s">
        <v>31</v>
      </c>
      <c r="D1011" s="76">
        <v>0</v>
      </c>
      <c r="E1011" s="71">
        <v>0</v>
      </c>
      <c r="F1011" s="71">
        <v>0</v>
      </c>
      <c r="G1011" s="101">
        <f t="shared" si="68"/>
        <v>0</v>
      </c>
      <c r="H1011" s="223"/>
      <c r="I1011" s="222"/>
      <c r="J1011" s="222"/>
      <c r="K1011" s="224"/>
      <c r="L1011" s="119"/>
    </row>
    <row r="1012" spans="1:13" ht="18.95" customHeight="1">
      <c r="A1012" s="219" t="s">
        <v>672</v>
      </c>
      <c r="B1012" s="219" t="s">
        <v>673</v>
      </c>
      <c r="C1012" s="27" t="s">
        <v>14</v>
      </c>
      <c r="D1012" s="102">
        <f>SUM(D1013:D1016)</f>
        <v>56169.5</v>
      </c>
      <c r="E1012" s="71">
        <f>SUM(E1013:E1016)</f>
        <v>56169.5</v>
      </c>
      <c r="F1012" s="71">
        <f>SUM(F1013:F1016)</f>
        <v>56169.5</v>
      </c>
      <c r="G1012" s="100">
        <f t="shared" si="68"/>
        <v>1</v>
      </c>
      <c r="H1012" s="223" t="s">
        <v>674</v>
      </c>
      <c r="I1012" s="203" t="s">
        <v>838</v>
      </c>
      <c r="J1012" s="220" t="s">
        <v>701</v>
      </c>
      <c r="K1012" s="224" t="s">
        <v>659</v>
      </c>
      <c r="L1012" s="117" t="s">
        <v>777</v>
      </c>
      <c r="M1012" s="292">
        <v>805</v>
      </c>
    </row>
    <row r="1013" spans="1:13" ht="18.95" customHeight="1">
      <c r="A1013" s="219"/>
      <c r="B1013" s="219"/>
      <c r="C1013" s="27" t="s">
        <v>17</v>
      </c>
      <c r="D1013" s="102">
        <v>0</v>
      </c>
      <c r="E1013" s="71">
        <v>0</v>
      </c>
      <c r="F1013" s="71">
        <v>0</v>
      </c>
      <c r="G1013" s="101">
        <f t="shared" si="68"/>
        <v>0</v>
      </c>
      <c r="H1013" s="223"/>
      <c r="I1013" s="204"/>
      <c r="J1013" s="221"/>
      <c r="K1013" s="224"/>
      <c r="L1013" s="118"/>
      <c r="M1013" s="292"/>
    </row>
    <row r="1014" spans="1:13" ht="18.95" customHeight="1">
      <c r="A1014" s="219"/>
      <c r="B1014" s="219"/>
      <c r="C1014" s="27" t="s">
        <v>19</v>
      </c>
      <c r="D1014" s="76">
        <v>56169.5</v>
      </c>
      <c r="E1014" s="71">
        <v>56169.5</v>
      </c>
      <c r="F1014" s="71">
        <v>56169.5</v>
      </c>
      <c r="G1014" s="101">
        <f t="shared" si="68"/>
        <v>1</v>
      </c>
      <c r="H1014" s="223"/>
      <c r="I1014" s="204"/>
      <c r="J1014" s="221"/>
      <c r="K1014" s="224"/>
      <c r="L1014" s="118"/>
      <c r="M1014" s="292"/>
    </row>
    <row r="1015" spans="1:13" ht="18.95" customHeight="1">
      <c r="A1015" s="219"/>
      <c r="B1015" s="219"/>
      <c r="C1015" s="27" t="s">
        <v>21</v>
      </c>
      <c r="D1015" s="76">
        <v>0</v>
      </c>
      <c r="E1015" s="71">
        <v>0</v>
      </c>
      <c r="F1015" s="71">
        <v>0</v>
      </c>
      <c r="G1015" s="101">
        <f t="shared" si="68"/>
        <v>0</v>
      </c>
      <c r="H1015" s="223"/>
      <c r="I1015" s="204"/>
      <c r="J1015" s="221"/>
      <c r="K1015" s="224"/>
      <c r="L1015" s="118"/>
      <c r="M1015" s="292"/>
    </row>
    <row r="1016" spans="1:13" ht="18.95" customHeight="1">
      <c r="A1016" s="219"/>
      <c r="B1016" s="219"/>
      <c r="C1016" s="27" t="s">
        <v>31</v>
      </c>
      <c r="D1016" s="102">
        <v>0</v>
      </c>
      <c r="E1016" s="71">
        <v>0</v>
      </c>
      <c r="F1016" s="71">
        <v>0</v>
      </c>
      <c r="G1016" s="101">
        <f t="shared" si="68"/>
        <v>0</v>
      </c>
      <c r="H1016" s="223"/>
      <c r="I1016" s="205"/>
      <c r="J1016" s="222"/>
      <c r="K1016" s="224"/>
      <c r="L1016" s="119"/>
      <c r="M1016" s="292"/>
    </row>
    <row r="1017" spans="1:13" ht="18.95" customHeight="1">
      <c r="A1017" s="230" t="s">
        <v>675</v>
      </c>
      <c r="B1017" s="233" t="s">
        <v>676</v>
      </c>
      <c r="C1017" s="40" t="s">
        <v>14</v>
      </c>
      <c r="D1017" s="41">
        <f>D1018+D1019</f>
        <v>1383.9</v>
      </c>
      <c r="E1017" s="42">
        <f>SUM(E1018:E1021)</f>
        <v>1314.0584799999999</v>
      </c>
      <c r="F1017" s="42">
        <f>SUM(F1018:F1021)</f>
        <v>1314.0584799999999</v>
      </c>
      <c r="G1017" s="43">
        <f t="shared" ref="G1017:G1026" si="70">IF(D1017&lt;&gt;0,F1017/D1017,0)</f>
        <v>0.94953282751643897</v>
      </c>
      <c r="H1017" s="233"/>
      <c r="I1017" s="65" t="s">
        <v>15</v>
      </c>
      <c r="J1017" s="65">
        <v>1</v>
      </c>
      <c r="K1017" s="233" t="s">
        <v>137</v>
      </c>
      <c r="L1017" s="125"/>
      <c r="M1017" s="292">
        <v>805</v>
      </c>
    </row>
    <row r="1018" spans="1:13" ht="18.95" customHeight="1">
      <c r="A1018" s="230"/>
      <c r="B1018" s="233"/>
      <c r="C1018" s="40" t="s">
        <v>17</v>
      </c>
      <c r="D1018" s="41">
        <f t="shared" ref="D1018:F1019" si="71">D1023</f>
        <v>0</v>
      </c>
      <c r="E1018" s="47">
        <f t="shared" si="71"/>
        <v>0</v>
      </c>
      <c r="F1018" s="47">
        <f t="shared" si="71"/>
        <v>0</v>
      </c>
      <c r="G1018" s="45">
        <f t="shared" si="70"/>
        <v>0</v>
      </c>
      <c r="H1018" s="233"/>
      <c r="I1018" s="65" t="s">
        <v>18</v>
      </c>
      <c r="J1018" s="65">
        <v>1</v>
      </c>
      <c r="K1018" s="233"/>
      <c r="L1018" s="126"/>
      <c r="M1018" s="292"/>
    </row>
    <row r="1019" spans="1:13" ht="18.95" customHeight="1">
      <c r="A1019" s="230"/>
      <c r="B1019" s="233"/>
      <c r="C1019" s="40" t="s">
        <v>19</v>
      </c>
      <c r="D1019" s="41">
        <f t="shared" si="71"/>
        <v>1383.9</v>
      </c>
      <c r="E1019" s="47">
        <f t="shared" si="71"/>
        <v>1314.0584799999999</v>
      </c>
      <c r="F1019" s="47">
        <f t="shared" si="71"/>
        <v>1314.0584799999999</v>
      </c>
      <c r="G1019" s="45">
        <f t="shared" si="70"/>
        <v>0.94953282751643897</v>
      </c>
      <c r="H1019" s="233"/>
      <c r="I1019" s="65" t="s">
        <v>20</v>
      </c>
      <c r="J1019" s="65">
        <v>0</v>
      </c>
      <c r="K1019" s="233"/>
      <c r="L1019" s="126"/>
      <c r="M1019" s="292"/>
    </row>
    <row r="1020" spans="1:13" ht="18.95" customHeight="1">
      <c r="A1020" s="230"/>
      <c r="B1020" s="233"/>
      <c r="C1020" s="40" t="s">
        <v>21</v>
      </c>
      <c r="D1020" s="41"/>
      <c r="E1020" s="47">
        <f>E1025</f>
        <v>0</v>
      </c>
      <c r="F1020" s="47">
        <f>F1025</f>
        <v>0</v>
      </c>
      <c r="G1020" s="45">
        <f t="shared" si="70"/>
        <v>0</v>
      </c>
      <c r="H1020" s="233"/>
      <c r="I1020" s="65" t="s">
        <v>22</v>
      </c>
      <c r="J1020" s="65">
        <v>0</v>
      </c>
      <c r="K1020" s="233"/>
      <c r="L1020" s="126"/>
      <c r="M1020" s="292"/>
    </row>
    <row r="1021" spans="1:13" ht="18.95" customHeight="1">
      <c r="A1021" s="230"/>
      <c r="B1021" s="233"/>
      <c r="C1021" s="40" t="s">
        <v>31</v>
      </c>
      <c r="D1021" s="41">
        <f>D1026</f>
        <v>0</v>
      </c>
      <c r="E1021" s="47">
        <f>E1026</f>
        <v>0</v>
      </c>
      <c r="F1021" s="47">
        <f>F1026</f>
        <v>0</v>
      </c>
      <c r="G1021" s="45">
        <f t="shared" si="70"/>
        <v>0</v>
      </c>
      <c r="H1021" s="233"/>
      <c r="I1021" s="65" t="s">
        <v>24</v>
      </c>
      <c r="J1021" s="66">
        <f>IF(J1017=0,0,(J1018+J1019*0.5)/J1017)</f>
        <v>1</v>
      </c>
      <c r="K1021" s="233"/>
      <c r="L1021" s="127"/>
      <c r="M1021" s="292"/>
    </row>
    <row r="1022" spans="1:13" ht="18.95" customHeight="1">
      <c r="A1022" s="219" t="s">
        <v>677</v>
      </c>
      <c r="B1022" s="219" t="s">
        <v>678</v>
      </c>
      <c r="C1022" s="27" t="s">
        <v>14</v>
      </c>
      <c r="D1022" s="28">
        <f>D1023+D1024</f>
        <v>1383.9</v>
      </c>
      <c r="E1022" s="30">
        <f>SUM(E1023:E1026)</f>
        <v>1314.0584799999999</v>
      </c>
      <c r="F1022" s="30">
        <f>SUM(F1023:F1026)</f>
        <v>1314.0584799999999</v>
      </c>
      <c r="G1022" s="29">
        <f t="shared" si="70"/>
        <v>0.94953282751643897</v>
      </c>
      <c r="H1022" s="218" t="s">
        <v>679</v>
      </c>
      <c r="I1022" s="209" t="s">
        <v>818</v>
      </c>
      <c r="J1022" s="206" t="s">
        <v>702</v>
      </c>
      <c r="K1022" s="219" t="s">
        <v>137</v>
      </c>
      <c r="L1022" s="104" t="s">
        <v>717</v>
      </c>
      <c r="M1022" s="292">
        <v>805</v>
      </c>
    </row>
    <row r="1023" spans="1:13" ht="18.95" customHeight="1">
      <c r="A1023" s="219"/>
      <c r="B1023" s="219"/>
      <c r="C1023" s="27" t="s">
        <v>17</v>
      </c>
      <c r="D1023" s="28">
        <v>0</v>
      </c>
      <c r="E1023" s="30">
        <v>0</v>
      </c>
      <c r="F1023" s="30">
        <v>0</v>
      </c>
      <c r="G1023" s="31">
        <f t="shared" si="70"/>
        <v>0</v>
      </c>
      <c r="H1023" s="218"/>
      <c r="I1023" s="210"/>
      <c r="J1023" s="207"/>
      <c r="K1023" s="219"/>
      <c r="L1023" s="105"/>
      <c r="M1023" s="292"/>
    </row>
    <row r="1024" spans="1:13" ht="18.95" customHeight="1">
      <c r="A1024" s="219"/>
      <c r="B1024" s="219"/>
      <c r="C1024" s="27" t="s">
        <v>19</v>
      </c>
      <c r="D1024" s="28">
        <v>1383.9</v>
      </c>
      <c r="E1024" s="30">
        <v>1314.0584799999999</v>
      </c>
      <c r="F1024" s="30">
        <v>1314.0584799999999</v>
      </c>
      <c r="G1024" s="31">
        <f t="shared" si="70"/>
        <v>0.94953282751643897</v>
      </c>
      <c r="H1024" s="218"/>
      <c r="I1024" s="210"/>
      <c r="J1024" s="207"/>
      <c r="K1024" s="219"/>
      <c r="L1024" s="105"/>
      <c r="M1024" s="292"/>
    </row>
    <row r="1025" spans="1:13" ht="18.95" customHeight="1">
      <c r="A1025" s="219"/>
      <c r="B1025" s="219"/>
      <c r="C1025" s="27" t="s">
        <v>21</v>
      </c>
      <c r="D1025" s="28">
        <v>0</v>
      </c>
      <c r="E1025" s="30">
        <v>0</v>
      </c>
      <c r="F1025" s="30">
        <v>0</v>
      </c>
      <c r="G1025" s="31">
        <f t="shared" si="70"/>
        <v>0</v>
      </c>
      <c r="H1025" s="218"/>
      <c r="I1025" s="210"/>
      <c r="J1025" s="207"/>
      <c r="K1025" s="219"/>
      <c r="L1025" s="105"/>
      <c r="M1025" s="292"/>
    </row>
    <row r="1026" spans="1:13" ht="18.95" customHeight="1">
      <c r="A1026" s="219"/>
      <c r="B1026" s="219"/>
      <c r="C1026" s="27" t="s">
        <v>31</v>
      </c>
      <c r="D1026" s="28">
        <v>0</v>
      </c>
      <c r="E1026" s="30">
        <v>0</v>
      </c>
      <c r="F1026" s="30">
        <v>0</v>
      </c>
      <c r="G1026" s="31">
        <f t="shared" si="70"/>
        <v>0</v>
      </c>
      <c r="H1026" s="218"/>
      <c r="I1026" s="211"/>
      <c r="J1026" s="208"/>
      <c r="K1026" s="219"/>
      <c r="L1026" s="106"/>
      <c r="M1026" s="292"/>
    </row>
    <row r="1027" spans="1:13" ht="18.95" hidden="1" customHeight="1">
      <c r="A1027" s="232" t="s">
        <v>680</v>
      </c>
      <c r="B1027" s="231" t="s">
        <v>681</v>
      </c>
      <c r="C1027" s="48" t="s">
        <v>14</v>
      </c>
      <c r="D1027" s="49">
        <f>D1028+D1029</f>
        <v>0</v>
      </c>
      <c r="E1027" s="50">
        <f>SUM(E1028:E1031)</f>
        <v>0</v>
      </c>
      <c r="F1027" s="50">
        <f>SUM(F1028:F1031)</f>
        <v>0</v>
      </c>
      <c r="G1027" s="51">
        <f>IF(D1027&lt;&gt;0,F1027/D1027,0)</f>
        <v>0</v>
      </c>
      <c r="H1027" s="231" t="s">
        <v>682</v>
      </c>
      <c r="I1027" s="67" t="s">
        <v>15</v>
      </c>
      <c r="J1027" s="67">
        <v>0</v>
      </c>
      <c r="K1027" s="231" t="s">
        <v>584</v>
      </c>
      <c r="L1027" s="136"/>
    </row>
    <row r="1028" spans="1:13" ht="18.95" hidden="1" customHeight="1">
      <c r="A1028" s="232"/>
      <c r="B1028" s="231"/>
      <c r="C1028" s="48" t="s">
        <v>17</v>
      </c>
      <c r="D1028" s="49">
        <v>0</v>
      </c>
      <c r="E1028" s="53">
        <v>0</v>
      </c>
      <c r="F1028" s="53">
        <v>0</v>
      </c>
      <c r="G1028" s="52">
        <f>IF(D1028&lt;&gt;0,F1028/D1028,0)</f>
        <v>0</v>
      </c>
      <c r="H1028" s="231"/>
      <c r="I1028" s="67" t="s">
        <v>18</v>
      </c>
      <c r="J1028" s="67">
        <v>0</v>
      </c>
      <c r="K1028" s="231"/>
      <c r="L1028" s="137"/>
    </row>
    <row r="1029" spans="1:13" ht="18.95" hidden="1" customHeight="1">
      <c r="A1029" s="232"/>
      <c r="B1029" s="231"/>
      <c r="C1029" s="48" t="s">
        <v>19</v>
      </c>
      <c r="D1029" s="49">
        <v>0</v>
      </c>
      <c r="E1029" s="53">
        <v>0</v>
      </c>
      <c r="F1029" s="53">
        <v>0</v>
      </c>
      <c r="G1029" s="52">
        <f>IF(D1029&lt;&gt;0,F1029/D1029,0)</f>
        <v>0</v>
      </c>
      <c r="H1029" s="231"/>
      <c r="I1029" s="67" t="s">
        <v>20</v>
      </c>
      <c r="J1029" s="67">
        <v>0</v>
      </c>
      <c r="K1029" s="231"/>
      <c r="L1029" s="137"/>
    </row>
    <row r="1030" spans="1:13" ht="18.95" hidden="1" customHeight="1">
      <c r="A1030" s="232"/>
      <c r="B1030" s="231"/>
      <c r="C1030" s="48" t="s">
        <v>21</v>
      </c>
      <c r="D1030" s="49">
        <v>0</v>
      </c>
      <c r="E1030" s="53">
        <v>0</v>
      </c>
      <c r="F1030" s="53">
        <v>0</v>
      </c>
      <c r="G1030" s="52">
        <f>IF(D1030&lt;&gt;0,F1030/D1030,0)</f>
        <v>0</v>
      </c>
      <c r="H1030" s="231"/>
      <c r="I1030" s="67" t="s">
        <v>22</v>
      </c>
      <c r="J1030" s="67">
        <v>0</v>
      </c>
      <c r="K1030" s="231"/>
      <c r="L1030" s="137"/>
    </row>
    <row r="1031" spans="1:13" ht="18.95" hidden="1" customHeight="1">
      <c r="A1031" s="232"/>
      <c r="B1031" s="231"/>
      <c r="C1031" s="48" t="s">
        <v>31</v>
      </c>
      <c r="D1031" s="49">
        <v>0</v>
      </c>
      <c r="E1031" s="53">
        <v>0</v>
      </c>
      <c r="F1031" s="53">
        <v>0</v>
      </c>
      <c r="G1031" s="52">
        <f>IF(D1031&lt;&gt;0,F1031/D1031,0)</f>
        <v>0</v>
      </c>
      <c r="H1031" s="231"/>
      <c r="I1031" s="67" t="s">
        <v>24</v>
      </c>
      <c r="J1031" s="68">
        <f>IF(J1027=0,0,(J1028+J1029*0.5)/J1027)</f>
        <v>0</v>
      </c>
      <c r="K1031" s="231"/>
      <c r="L1031" s="138"/>
    </row>
    <row r="1060" spans="9:9">
      <c r="I1060" s="11" t="s">
        <v>683</v>
      </c>
    </row>
  </sheetData>
  <autoFilter ref="B1:B741"/>
  <mergeCells count="1512">
    <mergeCell ref="M962:M966"/>
    <mergeCell ref="M967:M971"/>
    <mergeCell ref="M972:M976"/>
    <mergeCell ref="M977:M981"/>
    <mergeCell ref="M987:M991"/>
    <mergeCell ref="M992:M996"/>
    <mergeCell ref="M997:M1001"/>
    <mergeCell ref="M1012:M1016"/>
    <mergeCell ref="M1017:M1021"/>
    <mergeCell ref="M1022:M1026"/>
    <mergeCell ref="M867:M871"/>
    <mergeCell ref="M872:M876"/>
    <mergeCell ref="M877:M881"/>
    <mergeCell ref="M882:M886"/>
    <mergeCell ref="M887:M891"/>
    <mergeCell ref="M892:M896"/>
    <mergeCell ref="M897:M901"/>
    <mergeCell ref="M902:M906"/>
    <mergeCell ref="M907:M911"/>
    <mergeCell ref="M912:M916"/>
    <mergeCell ref="M917:M921"/>
    <mergeCell ref="M922:M926"/>
    <mergeCell ref="M927:M931"/>
    <mergeCell ref="M932:M936"/>
    <mergeCell ref="M937:M941"/>
    <mergeCell ref="M942:M946"/>
    <mergeCell ref="M947:M951"/>
    <mergeCell ref="M752:M756"/>
    <mergeCell ref="M757:M761"/>
    <mergeCell ref="M762:M766"/>
    <mergeCell ref="M772:M776"/>
    <mergeCell ref="M782:M786"/>
    <mergeCell ref="M787:M791"/>
    <mergeCell ref="M797:M801"/>
    <mergeCell ref="M802:M806"/>
    <mergeCell ref="M807:M811"/>
    <mergeCell ref="M817:M821"/>
    <mergeCell ref="M832:M836"/>
    <mergeCell ref="M837:M841"/>
    <mergeCell ref="M842:M846"/>
    <mergeCell ref="M847:M851"/>
    <mergeCell ref="M852:M856"/>
    <mergeCell ref="M857:M861"/>
    <mergeCell ref="M862:M866"/>
    <mergeCell ref="M642:M646"/>
    <mergeCell ref="M647:M651"/>
    <mergeCell ref="M652:M656"/>
    <mergeCell ref="M662:M666"/>
    <mergeCell ref="M677:M681"/>
    <mergeCell ref="M687:M691"/>
    <mergeCell ref="M692:M696"/>
    <mergeCell ref="M697:M701"/>
    <mergeCell ref="M702:M706"/>
    <mergeCell ref="M707:M711"/>
    <mergeCell ref="M712:M716"/>
    <mergeCell ref="M717:M721"/>
    <mergeCell ref="M727:M731"/>
    <mergeCell ref="M732:M736"/>
    <mergeCell ref="M737:M741"/>
    <mergeCell ref="M742:M746"/>
    <mergeCell ref="M747:M751"/>
    <mergeCell ref="M527:M531"/>
    <mergeCell ref="M532:M536"/>
    <mergeCell ref="M537:M541"/>
    <mergeCell ref="M542:M546"/>
    <mergeCell ref="M552:M556"/>
    <mergeCell ref="M557:M561"/>
    <mergeCell ref="M577:M581"/>
    <mergeCell ref="M582:M586"/>
    <mergeCell ref="M587:M591"/>
    <mergeCell ref="M597:M601"/>
    <mergeCell ref="M602:M606"/>
    <mergeCell ref="M607:M611"/>
    <mergeCell ref="M612:M616"/>
    <mergeCell ref="M617:M621"/>
    <mergeCell ref="M622:M626"/>
    <mergeCell ref="M627:M631"/>
    <mergeCell ref="M632:M636"/>
    <mergeCell ref="M412:M416"/>
    <mergeCell ref="M417:M421"/>
    <mergeCell ref="M422:M426"/>
    <mergeCell ref="M427:M431"/>
    <mergeCell ref="M432:M436"/>
    <mergeCell ref="M437:M441"/>
    <mergeCell ref="M447:M451"/>
    <mergeCell ref="M457:M461"/>
    <mergeCell ref="M467:M471"/>
    <mergeCell ref="M472:M476"/>
    <mergeCell ref="M477:M481"/>
    <mergeCell ref="M482:M486"/>
    <mergeCell ref="M487:M491"/>
    <mergeCell ref="M502:M506"/>
    <mergeCell ref="M507:M511"/>
    <mergeCell ref="M512:M516"/>
    <mergeCell ref="M517:M521"/>
    <mergeCell ref="M352:M356"/>
    <mergeCell ref="M357:M361"/>
    <mergeCell ref="M362:M366"/>
    <mergeCell ref="M367:M371"/>
    <mergeCell ref="M372:M376"/>
    <mergeCell ref="M312:M316"/>
    <mergeCell ref="M317:M321"/>
    <mergeCell ref="M322:M326"/>
    <mergeCell ref="M327:M331"/>
    <mergeCell ref="M332:M336"/>
    <mergeCell ref="M377:M381"/>
    <mergeCell ref="M382:M386"/>
    <mergeCell ref="M387:M391"/>
    <mergeCell ref="M392:M396"/>
    <mergeCell ref="M397:M401"/>
    <mergeCell ref="M402:M406"/>
    <mergeCell ref="M407:M411"/>
    <mergeCell ref="M202:M206"/>
    <mergeCell ref="M207:M211"/>
    <mergeCell ref="M212:M216"/>
    <mergeCell ref="M217:M221"/>
    <mergeCell ref="M222:M226"/>
    <mergeCell ref="M227:M231"/>
    <mergeCell ref="M232:M236"/>
    <mergeCell ref="M237:M241"/>
    <mergeCell ref="M242:M246"/>
    <mergeCell ref="M247:M251"/>
    <mergeCell ref="M252:M256"/>
    <mergeCell ref="M257:M261"/>
    <mergeCell ref="M337:M341"/>
    <mergeCell ref="M262:M266"/>
    <mergeCell ref="M287:M291"/>
    <mergeCell ref="M292:M296"/>
    <mergeCell ref="M297:M301"/>
    <mergeCell ref="M302:M306"/>
    <mergeCell ref="M307:M311"/>
    <mergeCell ref="M107:M111"/>
    <mergeCell ref="M112:M116"/>
    <mergeCell ref="M117:M121"/>
    <mergeCell ref="M122:M126"/>
    <mergeCell ref="M127:M131"/>
    <mergeCell ref="M132:M136"/>
    <mergeCell ref="M142:M146"/>
    <mergeCell ref="M147:M151"/>
    <mergeCell ref="M152:M156"/>
    <mergeCell ref="M157:M161"/>
    <mergeCell ref="M162:M166"/>
    <mergeCell ref="M167:M171"/>
    <mergeCell ref="M172:M176"/>
    <mergeCell ref="M177:M181"/>
    <mergeCell ref="M182:M186"/>
    <mergeCell ref="M192:M196"/>
    <mergeCell ref="M197:M201"/>
    <mergeCell ref="M62:M66"/>
    <mergeCell ref="M67:M71"/>
    <mergeCell ref="M72:M76"/>
    <mergeCell ref="M77:M81"/>
    <mergeCell ref="M82:M86"/>
    <mergeCell ref="M87:M91"/>
    <mergeCell ref="M92:M96"/>
    <mergeCell ref="M97:M101"/>
    <mergeCell ref="K22:K26"/>
    <mergeCell ref="M32:M36"/>
    <mergeCell ref="M37:M41"/>
    <mergeCell ref="M47:M51"/>
    <mergeCell ref="M52:M56"/>
    <mergeCell ref="M57:M61"/>
    <mergeCell ref="K27:K31"/>
    <mergeCell ref="L42:L46"/>
    <mergeCell ref="M102:M106"/>
    <mergeCell ref="L7:L11"/>
    <mergeCell ref="H17:H21"/>
    <mergeCell ref="K17:K21"/>
    <mergeCell ref="B17:B21"/>
    <mergeCell ref="L12:L16"/>
    <mergeCell ref="L27:L31"/>
    <mergeCell ref="L17:L21"/>
    <mergeCell ref="A17:A21"/>
    <mergeCell ref="H7:H11"/>
    <mergeCell ref="K7:K11"/>
    <mergeCell ref="A7:A11"/>
    <mergeCell ref="B7:B11"/>
    <mergeCell ref="A12:A16"/>
    <mergeCell ref="B12:B16"/>
    <mergeCell ref="K12:K16"/>
    <mergeCell ref="A2:L2"/>
    <mergeCell ref="A4:A5"/>
    <mergeCell ref="C4:F4"/>
    <mergeCell ref="B4:B5"/>
    <mergeCell ref="K4:K5"/>
    <mergeCell ref="G4:G5"/>
    <mergeCell ref="I4:I5"/>
    <mergeCell ref="H4:H5"/>
    <mergeCell ref="J4:J5"/>
    <mergeCell ref="L4:L5"/>
    <mergeCell ref="J42:J46"/>
    <mergeCell ref="I42:I46"/>
    <mergeCell ref="A42:A46"/>
    <mergeCell ref="H37:H41"/>
    <mergeCell ref="B42:B46"/>
    <mergeCell ref="K42:K46"/>
    <mergeCell ref="H42:H46"/>
    <mergeCell ref="L32:L36"/>
    <mergeCell ref="B32:B36"/>
    <mergeCell ref="A32:A36"/>
    <mergeCell ref="K32:K36"/>
    <mergeCell ref="H32:H36"/>
    <mergeCell ref="K37:K41"/>
    <mergeCell ref="A37:A41"/>
    <mergeCell ref="L22:L26"/>
    <mergeCell ref="A22:A26"/>
    <mergeCell ref="B22:B26"/>
    <mergeCell ref="H22:H26"/>
    <mergeCell ref="H27:H31"/>
    <mergeCell ref="B27:B31"/>
    <mergeCell ref="B37:B41"/>
    <mergeCell ref="L37:L41"/>
    <mergeCell ref="K62:K66"/>
    <mergeCell ref="A62:A66"/>
    <mergeCell ref="L62:L66"/>
    <mergeCell ref="B62:B66"/>
    <mergeCell ref="H62:H66"/>
    <mergeCell ref="B67:B71"/>
    <mergeCell ref="H67:H71"/>
    <mergeCell ref="J67:J71"/>
    <mergeCell ref="K67:K71"/>
    <mergeCell ref="L67:L71"/>
    <mergeCell ref="J57:J61"/>
    <mergeCell ref="K57:K61"/>
    <mergeCell ref="H57:H61"/>
    <mergeCell ref="I57:I61"/>
    <mergeCell ref="L57:L61"/>
    <mergeCell ref="K47:K51"/>
    <mergeCell ref="A57:A61"/>
    <mergeCell ref="B57:B61"/>
    <mergeCell ref="L47:L51"/>
    <mergeCell ref="K52:K56"/>
    <mergeCell ref="H52:H56"/>
    <mergeCell ref="A52:A56"/>
    <mergeCell ref="B52:B56"/>
    <mergeCell ref="L52:L56"/>
    <mergeCell ref="I52:I56"/>
    <mergeCell ref="J52:J56"/>
    <mergeCell ref="A47:A51"/>
    <mergeCell ref="I47:I51"/>
    <mergeCell ref="H47:H51"/>
    <mergeCell ref="B47:B51"/>
    <mergeCell ref="J47:J51"/>
    <mergeCell ref="I82:I86"/>
    <mergeCell ref="A87:A91"/>
    <mergeCell ref="B87:B91"/>
    <mergeCell ref="H87:H91"/>
    <mergeCell ref="L87:L91"/>
    <mergeCell ref="K87:K91"/>
    <mergeCell ref="K72:K76"/>
    <mergeCell ref="A67:A71"/>
    <mergeCell ref="I67:I71"/>
    <mergeCell ref="A72:A76"/>
    <mergeCell ref="H72:H76"/>
    <mergeCell ref="L72:L76"/>
    <mergeCell ref="B72:B76"/>
    <mergeCell ref="J72:J76"/>
    <mergeCell ref="I72:I76"/>
    <mergeCell ref="A77:A81"/>
    <mergeCell ref="I77:I81"/>
    <mergeCell ref="J77:J81"/>
    <mergeCell ref="K77:K81"/>
    <mergeCell ref="L77:L81"/>
    <mergeCell ref="B77:B81"/>
    <mergeCell ref="H77:H81"/>
    <mergeCell ref="J82:J86"/>
    <mergeCell ref="K82:K86"/>
    <mergeCell ref="B82:B86"/>
    <mergeCell ref="H82:H86"/>
    <mergeCell ref="A82:A86"/>
    <mergeCell ref="H92:H96"/>
    <mergeCell ref="J92:J96"/>
    <mergeCell ref="K92:K96"/>
    <mergeCell ref="I92:I96"/>
    <mergeCell ref="J112:J116"/>
    <mergeCell ref="I112:I116"/>
    <mergeCell ref="L112:L116"/>
    <mergeCell ref="K112:K116"/>
    <mergeCell ref="H112:H116"/>
    <mergeCell ref="B112:B116"/>
    <mergeCell ref="H107:H111"/>
    <mergeCell ref="B107:B111"/>
    <mergeCell ref="A107:A111"/>
    <mergeCell ref="K107:K111"/>
    <mergeCell ref="I107:I111"/>
    <mergeCell ref="J107:J111"/>
    <mergeCell ref="L92:L96"/>
    <mergeCell ref="A92:A96"/>
    <mergeCell ref="B92:B96"/>
    <mergeCell ref="A97:A101"/>
    <mergeCell ref="K97:K101"/>
    <mergeCell ref="I97:I101"/>
    <mergeCell ref="J97:J101"/>
    <mergeCell ref="L97:L101"/>
    <mergeCell ref="H97:H101"/>
    <mergeCell ref="B97:B101"/>
    <mergeCell ref="L82:L86"/>
    <mergeCell ref="L127:L131"/>
    <mergeCell ref="H127:H131"/>
    <mergeCell ref="B127:B131"/>
    <mergeCell ref="J102:J106"/>
    <mergeCell ref="B102:B106"/>
    <mergeCell ref="A102:A106"/>
    <mergeCell ref="I102:I106"/>
    <mergeCell ref="K102:K106"/>
    <mergeCell ref="H102:H106"/>
    <mergeCell ref="L102:L106"/>
    <mergeCell ref="B122:B126"/>
    <mergeCell ref="A122:A126"/>
    <mergeCell ref="J127:J131"/>
    <mergeCell ref="K127:K131"/>
    <mergeCell ref="I127:I131"/>
    <mergeCell ref="A127:A131"/>
    <mergeCell ref="L117:L121"/>
    <mergeCell ref="L122:L126"/>
    <mergeCell ref="J122:J126"/>
    <mergeCell ref="H122:H126"/>
    <mergeCell ref="K122:K126"/>
    <mergeCell ref="I122:I126"/>
    <mergeCell ref="A117:A121"/>
    <mergeCell ref="J117:J121"/>
    <mergeCell ref="I117:I121"/>
    <mergeCell ref="H117:H121"/>
    <mergeCell ref="B117:B121"/>
    <mergeCell ref="K117:K121"/>
    <mergeCell ref="A112:A116"/>
    <mergeCell ref="L107:L111"/>
    <mergeCell ref="I142:I146"/>
    <mergeCell ref="B142:B146"/>
    <mergeCell ref="A142:A146"/>
    <mergeCell ref="L142:L146"/>
    <mergeCell ref="K142:K146"/>
    <mergeCell ref="J142:J146"/>
    <mergeCell ref="H142:H146"/>
    <mergeCell ref="I137:I141"/>
    <mergeCell ref="J137:J141"/>
    <mergeCell ref="A137:A141"/>
    <mergeCell ref="H137:H141"/>
    <mergeCell ref="L137:L141"/>
    <mergeCell ref="K137:K141"/>
    <mergeCell ref="B137:B141"/>
    <mergeCell ref="K132:K136"/>
    <mergeCell ref="L132:L136"/>
    <mergeCell ref="J132:J136"/>
    <mergeCell ref="B132:B136"/>
    <mergeCell ref="A132:A136"/>
    <mergeCell ref="H132:H136"/>
    <mergeCell ref="I132:I136"/>
    <mergeCell ref="L157:L161"/>
    <mergeCell ref="B157:B161"/>
    <mergeCell ref="B162:B166"/>
    <mergeCell ref="I162:I166"/>
    <mergeCell ref="J157:J161"/>
    <mergeCell ref="I157:I161"/>
    <mergeCell ref="A162:A166"/>
    <mergeCell ref="K162:K166"/>
    <mergeCell ref="L162:L166"/>
    <mergeCell ref="J162:J166"/>
    <mergeCell ref="H162:H166"/>
    <mergeCell ref="A152:A156"/>
    <mergeCell ref="K152:K156"/>
    <mergeCell ref="K157:K161"/>
    <mergeCell ref="H157:H161"/>
    <mergeCell ref="A157:A161"/>
    <mergeCell ref="B147:B151"/>
    <mergeCell ref="K147:K151"/>
    <mergeCell ref="A147:A151"/>
    <mergeCell ref="H147:H151"/>
    <mergeCell ref="L147:L151"/>
    <mergeCell ref="H152:H156"/>
    <mergeCell ref="B152:B156"/>
    <mergeCell ref="J152:J156"/>
    <mergeCell ref="L152:L156"/>
    <mergeCell ref="I152:I156"/>
    <mergeCell ref="L202:L206"/>
    <mergeCell ref="L172:L176"/>
    <mergeCell ref="A177:A181"/>
    <mergeCell ref="H177:H181"/>
    <mergeCell ref="I177:I181"/>
    <mergeCell ref="B177:B181"/>
    <mergeCell ref="K177:K181"/>
    <mergeCell ref="L177:L181"/>
    <mergeCell ref="J177:J181"/>
    <mergeCell ref="B172:B176"/>
    <mergeCell ref="K172:K176"/>
    <mergeCell ref="H172:H176"/>
    <mergeCell ref="J172:J176"/>
    <mergeCell ref="I172:I176"/>
    <mergeCell ref="A172:A176"/>
    <mergeCell ref="H167:H171"/>
    <mergeCell ref="J167:J171"/>
    <mergeCell ref="A167:A171"/>
    <mergeCell ref="K167:K171"/>
    <mergeCell ref="B167:B171"/>
    <mergeCell ref="L167:L171"/>
    <mergeCell ref="I167:I171"/>
    <mergeCell ref="I202:I206"/>
    <mergeCell ref="A202:A206"/>
    <mergeCell ref="B202:B206"/>
    <mergeCell ref="H202:H206"/>
    <mergeCell ref="J202:J206"/>
    <mergeCell ref="A207:A211"/>
    <mergeCell ref="K202:K206"/>
    <mergeCell ref="B192:B196"/>
    <mergeCell ref="A192:A196"/>
    <mergeCell ref="H192:H196"/>
    <mergeCell ref="J192:J196"/>
    <mergeCell ref="L197:L201"/>
    <mergeCell ref="K197:K201"/>
    <mergeCell ref="K192:K196"/>
    <mergeCell ref="B182:B186"/>
    <mergeCell ref="A182:A186"/>
    <mergeCell ref="A187:A191"/>
    <mergeCell ref="H187:H191"/>
    <mergeCell ref="B187:B191"/>
    <mergeCell ref="B197:B201"/>
    <mergeCell ref="A197:A201"/>
    <mergeCell ref="H197:H201"/>
    <mergeCell ref="H182:H186"/>
    <mergeCell ref="K187:K191"/>
    <mergeCell ref="J187:J191"/>
    <mergeCell ref="L207:L211"/>
    <mergeCell ref="L182:L186"/>
    <mergeCell ref="K182:K186"/>
    <mergeCell ref="I187:I191"/>
    <mergeCell ref="L187:L191"/>
    <mergeCell ref="L192:L196"/>
    <mergeCell ref="I192:I196"/>
    <mergeCell ref="K227:K231"/>
    <mergeCell ref="K222:K226"/>
    <mergeCell ref="H207:H211"/>
    <mergeCell ref="K207:K211"/>
    <mergeCell ref="A232:A236"/>
    <mergeCell ref="I232:I236"/>
    <mergeCell ref="K232:K236"/>
    <mergeCell ref="L222:L226"/>
    <mergeCell ref="A222:A226"/>
    <mergeCell ref="I227:I231"/>
    <mergeCell ref="H227:H231"/>
    <mergeCell ref="L227:L231"/>
    <mergeCell ref="J227:J231"/>
    <mergeCell ref="B227:B231"/>
    <mergeCell ref="A227:A231"/>
    <mergeCell ref="J212:J216"/>
    <mergeCell ref="I212:I216"/>
    <mergeCell ref="H212:H216"/>
    <mergeCell ref="L212:L216"/>
    <mergeCell ref="K212:K216"/>
    <mergeCell ref="A212:A216"/>
    <mergeCell ref="B212:B216"/>
    <mergeCell ref="B207:B211"/>
    <mergeCell ref="L247:L251"/>
    <mergeCell ref="H247:H251"/>
    <mergeCell ref="L217:L221"/>
    <mergeCell ref="A217:A221"/>
    <mergeCell ref="B217:B221"/>
    <mergeCell ref="K217:K221"/>
    <mergeCell ref="H217:H221"/>
    <mergeCell ref="B222:B226"/>
    <mergeCell ref="H222:H226"/>
    <mergeCell ref="A242:A246"/>
    <mergeCell ref="I247:I251"/>
    <mergeCell ref="A247:A251"/>
    <mergeCell ref="B247:B251"/>
    <mergeCell ref="K247:K251"/>
    <mergeCell ref="J247:J251"/>
    <mergeCell ref="H242:H246"/>
    <mergeCell ref="B242:B246"/>
    <mergeCell ref="K242:K246"/>
    <mergeCell ref="J242:J246"/>
    <mergeCell ref="I242:I246"/>
    <mergeCell ref="L242:L246"/>
    <mergeCell ref="I237:I241"/>
    <mergeCell ref="K237:K241"/>
    <mergeCell ref="H237:H241"/>
    <mergeCell ref="L237:L241"/>
    <mergeCell ref="B237:B241"/>
    <mergeCell ref="A237:A241"/>
    <mergeCell ref="J237:J241"/>
    <mergeCell ref="J232:J236"/>
    <mergeCell ref="H232:H236"/>
    <mergeCell ref="B232:B236"/>
    <mergeCell ref="L232:L236"/>
    <mergeCell ref="A257:A261"/>
    <mergeCell ref="J262:J266"/>
    <mergeCell ref="K262:K266"/>
    <mergeCell ref="L262:L266"/>
    <mergeCell ref="B262:B266"/>
    <mergeCell ref="A262:A266"/>
    <mergeCell ref="H262:H266"/>
    <mergeCell ref="H257:H261"/>
    <mergeCell ref="B257:B261"/>
    <mergeCell ref="L257:L261"/>
    <mergeCell ref="I257:I261"/>
    <mergeCell ref="K257:K261"/>
    <mergeCell ref="J257:J261"/>
    <mergeCell ref="J252:J256"/>
    <mergeCell ref="K252:K256"/>
    <mergeCell ref="B252:B256"/>
    <mergeCell ref="A252:A256"/>
    <mergeCell ref="H252:H256"/>
    <mergeCell ref="L252:L256"/>
    <mergeCell ref="I252:I256"/>
    <mergeCell ref="I262:I266"/>
    <mergeCell ref="I272:I276"/>
    <mergeCell ref="H272:H276"/>
    <mergeCell ref="A272:A276"/>
    <mergeCell ref="K272:K276"/>
    <mergeCell ref="L272:L276"/>
    <mergeCell ref="J272:J276"/>
    <mergeCell ref="L297:L301"/>
    <mergeCell ref="B297:B301"/>
    <mergeCell ref="I267:I271"/>
    <mergeCell ref="B267:B271"/>
    <mergeCell ref="J267:J271"/>
    <mergeCell ref="A267:A271"/>
    <mergeCell ref="H267:H271"/>
    <mergeCell ref="K267:K271"/>
    <mergeCell ref="L267:L271"/>
    <mergeCell ref="B272:B276"/>
    <mergeCell ref="J297:J301"/>
    <mergeCell ref="I297:I301"/>
    <mergeCell ref="A297:A301"/>
    <mergeCell ref="K297:K301"/>
    <mergeCell ref="H297:H301"/>
    <mergeCell ref="B287:B291"/>
    <mergeCell ref="K287:K291"/>
    <mergeCell ref="H287:H291"/>
    <mergeCell ref="L287:L291"/>
    <mergeCell ref="A287:A291"/>
    <mergeCell ref="I292:I296"/>
    <mergeCell ref="H292:H296"/>
    <mergeCell ref="L292:L296"/>
    <mergeCell ref="A292:A296"/>
    <mergeCell ref="B292:B296"/>
    <mergeCell ref="J292:J296"/>
    <mergeCell ref="K292:K296"/>
    <mergeCell ref="L282:L286"/>
    <mergeCell ref="A282:A286"/>
    <mergeCell ref="B282:B286"/>
    <mergeCell ref="K282:K286"/>
    <mergeCell ref="H282:H286"/>
    <mergeCell ref="I282:I286"/>
    <mergeCell ref="J282:J286"/>
    <mergeCell ref="J277:J281"/>
    <mergeCell ref="H277:H281"/>
    <mergeCell ref="K277:K281"/>
    <mergeCell ref="L277:L281"/>
    <mergeCell ref="I277:I281"/>
    <mergeCell ref="A277:A281"/>
    <mergeCell ref="B277:B281"/>
    <mergeCell ref="H302:H306"/>
    <mergeCell ref="L302:L306"/>
    <mergeCell ref="A302:A306"/>
    <mergeCell ref="J302:J306"/>
    <mergeCell ref="B302:B306"/>
    <mergeCell ref="K302:K306"/>
    <mergeCell ref="I302:I306"/>
    <mergeCell ref="A307:A311"/>
    <mergeCell ref="B307:B311"/>
    <mergeCell ref="L332:L336"/>
    <mergeCell ref="A332:A336"/>
    <mergeCell ref="I332:I336"/>
    <mergeCell ref="B332:B336"/>
    <mergeCell ref="L337:L341"/>
    <mergeCell ref="K337:K341"/>
    <mergeCell ref="I337:I341"/>
    <mergeCell ref="A312:A316"/>
    <mergeCell ref="J312:J316"/>
    <mergeCell ref="J317:J321"/>
    <mergeCell ref="L317:L321"/>
    <mergeCell ref="K317:K321"/>
    <mergeCell ref="I317:I321"/>
    <mergeCell ref="H322:H326"/>
    <mergeCell ref="H332:H336"/>
    <mergeCell ref="K332:K336"/>
    <mergeCell ref="J332:J336"/>
    <mergeCell ref="A317:A321"/>
    <mergeCell ref="H317:H321"/>
    <mergeCell ref="B317:B321"/>
    <mergeCell ref="H307:H311"/>
    <mergeCell ref="L307:L311"/>
    <mergeCell ref="K307:K311"/>
    <mergeCell ref="L312:L316"/>
    <mergeCell ref="B312:B316"/>
    <mergeCell ref="I312:I316"/>
    <mergeCell ref="H312:H316"/>
    <mergeCell ref="K312:K316"/>
    <mergeCell ref="B337:B341"/>
    <mergeCell ref="H337:H341"/>
    <mergeCell ref="J337:J341"/>
    <mergeCell ref="A327:A331"/>
    <mergeCell ref="I327:I331"/>
    <mergeCell ref="J327:J331"/>
    <mergeCell ref="J342:J346"/>
    <mergeCell ref="A342:A346"/>
    <mergeCell ref="I342:I346"/>
    <mergeCell ref="A322:A326"/>
    <mergeCell ref="K322:K326"/>
    <mergeCell ref="L322:L326"/>
    <mergeCell ref="B322:B326"/>
    <mergeCell ref="H327:H331"/>
    <mergeCell ref="L327:L331"/>
    <mergeCell ref="B327:B331"/>
    <mergeCell ref="K327:K331"/>
    <mergeCell ref="L342:L346"/>
    <mergeCell ref="A337:A341"/>
    <mergeCell ref="B342:B346"/>
    <mergeCell ref="H342:H346"/>
    <mergeCell ref="K342:K346"/>
    <mergeCell ref="A387:A391"/>
    <mergeCell ref="K347:K351"/>
    <mergeCell ref="B347:B351"/>
    <mergeCell ref="J347:J351"/>
    <mergeCell ref="A347:A351"/>
    <mergeCell ref="H382:H386"/>
    <mergeCell ref="I362:I366"/>
    <mergeCell ref="L377:L381"/>
    <mergeCell ref="H377:H381"/>
    <mergeCell ref="A377:A381"/>
    <mergeCell ref="B377:B381"/>
    <mergeCell ref="A367:A371"/>
    <mergeCell ref="L367:L371"/>
    <mergeCell ref="K367:K371"/>
    <mergeCell ref="B372:B376"/>
    <mergeCell ref="L372:L376"/>
    <mergeCell ref="J372:J376"/>
    <mergeCell ref="A372:A376"/>
    <mergeCell ref="K372:K376"/>
    <mergeCell ref="J357:J361"/>
    <mergeCell ref="H367:H371"/>
    <mergeCell ref="L362:L366"/>
    <mergeCell ref="H362:H366"/>
    <mergeCell ref="B362:B366"/>
    <mergeCell ref="K352:K356"/>
    <mergeCell ref="L352:L356"/>
    <mergeCell ref="H352:H356"/>
    <mergeCell ref="A352:A356"/>
    <mergeCell ref="B352:B356"/>
    <mergeCell ref="K362:K366"/>
    <mergeCell ref="J362:J366"/>
    <mergeCell ref="A362:A366"/>
    <mergeCell ref="J397:J401"/>
    <mergeCell ref="I397:I401"/>
    <mergeCell ref="B397:B401"/>
    <mergeCell ref="K382:K386"/>
    <mergeCell ref="I387:I391"/>
    <mergeCell ref="B387:B391"/>
    <mergeCell ref="J387:J391"/>
    <mergeCell ref="K387:K391"/>
    <mergeCell ref="B382:B386"/>
    <mergeCell ref="L347:L351"/>
    <mergeCell ref="I347:I351"/>
    <mergeCell ref="I377:I381"/>
    <mergeCell ref="J377:J381"/>
    <mergeCell ref="K377:K381"/>
    <mergeCell ref="I372:I376"/>
    <mergeCell ref="H372:H376"/>
    <mergeCell ref="B367:B371"/>
    <mergeCell ref="B392:B396"/>
    <mergeCell ref="L387:L391"/>
    <mergeCell ref="A382:A386"/>
    <mergeCell ref="H357:H361"/>
    <mergeCell ref="I357:I361"/>
    <mergeCell ref="A357:A361"/>
    <mergeCell ref="L357:L361"/>
    <mergeCell ref="B357:B361"/>
    <mergeCell ref="K357:K361"/>
    <mergeCell ref="H347:H351"/>
    <mergeCell ref="A407:A411"/>
    <mergeCell ref="J407:J411"/>
    <mergeCell ref="J412:J416"/>
    <mergeCell ref="H412:H416"/>
    <mergeCell ref="K412:K416"/>
    <mergeCell ref="I412:I416"/>
    <mergeCell ref="L382:L386"/>
    <mergeCell ref="B407:B411"/>
    <mergeCell ref="H407:H411"/>
    <mergeCell ref="I407:I411"/>
    <mergeCell ref="K407:K411"/>
    <mergeCell ref="L407:L411"/>
    <mergeCell ref="L397:L401"/>
    <mergeCell ref="H397:H401"/>
    <mergeCell ref="K397:K401"/>
    <mergeCell ref="H387:H391"/>
    <mergeCell ref="A402:A406"/>
    <mergeCell ref="K402:K406"/>
    <mergeCell ref="L402:L406"/>
    <mergeCell ref="H402:H406"/>
    <mergeCell ref="B402:B406"/>
    <mergeCell ref="H392:H396"/>
    <mergeCell ref="K392:K396"/>
    <mergeCell ref="A397:A401"/>
    <mergeCell ref="A392:A396"/>
    <mergeCell ref="L392:L396"/>
    <mergeCell ref="B427:B431"/>
    <mergeCell ref="K427:K431"/>
    <mergeCell ref="H427:H431"/>
    <mergeCell ref="A427:A431"/>
    <mergeCell ref="L427:L431"/>
    <mergeCell ref="A432:A436"/>
    <mergeCell ref="B432:B436"/>
    <mergeCell ref="H432:H436"/>
    <mergeCell ref="K432:K436"/>
    <mergeCell ref="L432:L436"/>
    <mergeCell ref="L412:L416"/>
    <mergeCell ref="A412:A416"/>
    <mergeCell ref="B412:B416"/>
    <mergeCell ref="K417:K421"/>
    <mergeCell ref="B417:B421"/>
    <mergeCell ref="L417:L421"/>
    <mergeCell ref="H417:H421"/>
    <mergeCell ref="A417:A421"/>
    <mergeCell ref="H447:H451"/>
    <mergeCell ref="A447:A451"/>
    <mergeCell ref="L447:L451"/>
    <mergeCell ref="K447:K451"/>
    <mergeCell ref="B442:B446"/>
    <mergeCell ref="A442:A446"/>
    <mergeCell ref="J442:J446"/>
    <mergeCell ref="K442:K446"/>
    <mergeCell ref="H442:H446"/>
    <mergeCell ref="L442:L446"/>
    <mergeCell ref="I442:I446"/>
    <mergeCell ref="A437:A441"/>
    <mergeCell ref="J437:J441"/>
    <mergeCell ref="I437:I441"/>
    <mergeCell ref="L437:L441"/>
    <mergeCell ref="H437:H441"/>
    <mergeCell ref="K437:K441"/>
    <mergeCell ref="B437:B441"/>
    <mergeCell ref="I477:I481"/>
    <mergeCell ref="H477:H481"/>
    <mergeCell ref="B482:B486"/>
    <mergeCell ref="J482:J486"/>
    <mergeCell ref="A482:A486"/>
    <mergeCell ref="I482:I486"/>
    <mergeCell ref="H482:H486"/>
    <mergeCell ref="K472:K476"/>
    <mergeCell ref="B472:B476"/>
    <mergeCell ref="H472:H476"/>
    <mergeCell ref="A422:A426"/>
    <mergeCell ref="J422:J426"/>
    <mergeCell ref="B422:B426"/>
    <mergeCell ref="H422:H426"/>
    <mergeCell ref="K422:K426"/>
    <mergeCell ref="L422:L426"/>
    <mergeCell ref="I422:I426"/>
    <mergeCell ref="L457:L461"/>
    <mergeCell ref="J457:J461"/>
    <mergeCell ref="I457:I461"/>
    <mergeCell ref="A457:A461"/>
    <mergeCell ref="B457:B461"/>
    <mergeCell ref="H457:H461"/>
    <mergeCell ref="K457:K461"/>
    <mergeCell ref="I452:I456"/>
    <mergeCell ref="H452:H456"/>
    <mergeCell ref="J452:J456"/>
    <mergeCell ref="A452:A456"/>
    <mergeCell ref="L452:L456"/>
    <mergeCell ref="K452:K456"/>
    <mergeCell ref="B452:B456"/>
    <mergeCell ref="B447:B451"/>
    <mergeCell ref="L497:L501"/>
    <mergeCell ref="I497:I501"/>
    <mergeCell ref="A497:A501"/>
    <mergeCell ref="K497:K501"/>
    <mergeCell ref="B497:B501"/>
    <mergeCell ref="H497:H501"/>
    <mergeCell ref="J497:J501"/>
    <mergeCell ref="J492:J496"/>
    <mergeCell ref="L492:L496"/>
    <mergeCell ref="A492:A496"/>
    <mergeCell ref="H492:H496"/>
    <mergeCell ref="I492:I496"/>
    <mergeCell ref="L482:L486"/>
    <mergeCell ref="K482:K486"/>
    <mergeCell ref="A487:A491"/>
    <mergeCell ref="L487:L491"/>
    <mergeCell ref="B487:B491"/>
    <mergeCell ref="J487:J491"/>
    <mergeCell ref="H487:H491"/>
    <mergeCell ref="K487:K491"/>
    <mergeCell ref="I487:I491"/>
    <mergeCell ref="L472:L476"/>
    <mergeCell ref="A472:A476"/>
    <mergeCell ref="A477:A481"/>
    <mergeCell ref="L477:L481"/>
    <mergeCell ref="B477:B481"/>
    <mergeCell ref="K477:K481"/>
    <mergeCell ref="J477:J481"/>
    <mergeCell ref="L1027:L1031"/>
    <mergeCell ref="A462:A466"/>
    <mergeCell ref="K462:K466"/>
    <mergeCell ref="L462:L466"/>
    <mergeCell ref="B462:B466"/>
    <mergeCell ref="H462:H466"/>
    <mergeCell ref="K467:K471"/>
    <mergeCell ref="B467:B471"/>
    <mergeCell ref="H467:H471"/>
    <mergeCell ref="L467:L471"/>
    <mergeCell ref="A1017:A1021"/>
    <mergeCell ref="J1022:J1026"/>
    <mergeCell ref="I1022:I1026"/>
    <mergeCell ref="K1022:K1026"/>
    <mergeCell ref="B1022:B1026"/>
    <mergeCell ref="H1027:H1031"/>
    <mergeCell ref="A1027:A1031"/>
    <mergeCell ref="K1027:K1031"/>
    <mergeCell ref="B1027:B1031"/>
    <mergeCell ref="H1022:H1026"/>
    <mergeCell ref="B492:B496"/>
    <mergeCell ref="K492:K496"/>
    <mergeCell ref="B1017:B1021"/>
    <mergeCell ref="K1017:K1021"/>
    <mergeCell ref="L1017:L1021"/>
    <mergeCell ref="H987:H991"/>
    <mergeCell ref="B987:B991"/>
    <mergeCell ref="K987:K991"/>
    <mergeCell ref="A987:A991"/>
    <mergeCell ref="L987:L991"/>
    <mergeCell ref="L1022:L1026"/>
    <mergeCell ref="A1022:A1026"/>
    <mergeCell ref="A1002:A1006"/>
    <mergeCell ref="K1002:K1006"/>
    <mergeCell ref="A1012:A1016"/>
    <mergeCell ref="L1012:L1016"/>
    <mergeCell ref="J1012:J1016"/>
    <mergeCell ref="B1012:B1016"/>
    <mergeCell ref="H1012:H1016"/>
    <mergeCell ref="L1002:L1006"/>
    <mergeCell ref="A1007:A1011"/>
    <mergeCell ref="K1007:K1011"/>
    <mergeCell ref="H1007:H1011"/>
    <mergeCell ref="J1007:J1011"/>
    <mergeCell ref="B1007:B1011"/>
    <mergeCell ref="I1007:I1011"/>
    <mergeCell ref="H1017:H1021"/>
    <mergeCell ref="K1012:K1016"/>
    <mergeCell ref="I1012:I1016"/>
    <mergeCell ref="L1007:L1011"/>
    <mergeCell ref="K992:K996"/>
    <mergeCell ref="L992:L996"/>
    <mergeCell ref="L997:L1001"/>
    <mergeCell ref="I997:I1001"/>
    <mergeCell ref="I992:I996"/>
    <mergeCell ref="J992:J996"/>
    <mergeCell ref="H992:H996"/>
    <mergeCell ref="A997:A1001"/>
    <mergeCell ref="J997:J1001"/>
    <mergeCell ref="H997:H1001"/>
    <mergeCell ref="B997:B1001"/>
    <mergeCell ref="K997:K1001"/>
    <mergeCell ref="J1002:J1006"/>
    <mergeCell ref="I1002:I1006"/>
    <mergeCell ref="H1002:H1006"/>
    <mergeCell ref="B1002:B1006"/>
    <mergeCell ref="B992:B996"/>
    <mergeCell ref="A992:A996"/>
    <mergeCell ref="A977:A981"/>
    <mergeCell ref="J982:J986"/>
    <mergeCell ref="A982:A986"/>
    <mergeCell ref="H982:H986"/>
    <mergeCell ref="B982:B986"/>
    <mergeCell ref="I982:I986"/>
    <mergeCell ref="J977:J981"/>
    <mergeCell ref="I977:I981"/>
    <mergeCell ref="L977:L981"/>
    <mergeCell ref="K977:K981"/>
    <mergeCell ref="B977:B981"/>
    <mergeCell ref="H977:H981"/>
    <mergeCell ref="K967:K971"/>
    <mergeCell ref="B972:B976"/>
    <mergeCell ref="I972:I976"/>
    <mergeCell ref="K972:K976"/>
    <mergeCell ref="J967:J971"/>
    <mergeCell ref="I967:I971"/>
    <mergeCell ref="A972:A976"/>
    <mergeCell ref="L972:L976"/>
    <mergeCell ref="H972:H976"/>
    <mergeCell ref="J972:J976"/>
    <mergeCell ref="L982:L986"/>
    <mergeCell ref="K982:K986"/>
    <mergeCell ref="A962:A966"/>
    <mergeCell ref="B952:B956"/>
    <mergeCell ref="A952:A956"/>
    <mergeCell ref="A957:A961"/>
    <mergeCell ref="A942:A946"/>
    <mergeCell ref="J962:J966"/>
    <mergeCell ref="B962:B966"/>
    <mergeCell ref="A967:A971"/>
    <mergeCell ref="B967:B971"/>
    <mergeCell ref="L967:L971"/>
    <mergeCell ref="H967:H971"/>
    <mergeCell ref="L957:L961"/>
    <mergeCell ref="K957:K961"/>
    <mergeCell ref="B957:B961"/>
    <mergeCell ref="I962:I966"/>
    <mergeCell ref="H962:H966"/>
    <mergeCell ref="K962:K966"/>
    <mergeCell ref="H957:H961"/>
    <mergeCell ref="I957:I961"/>
    <mergeCell ref="J957:J961"/>
    <mergeCell ref="L962:L966"/>
    <mergeCell ref="L947:L951"/>
    <mergeCell ref="I952:I956"/>
    <mergeCell ref="K952:K956"/>
    <mergeCell ref="J952:J956"/>
    <mergeCell ref="L937:L941"/>
    <mergeCell ref="I937:I941"/>
    <mergeCell ref="L927:L931"/>
    <mergeCell ref="L932:L936"/>
    <mergeCell ref="H952:H956"/>
    <mergeCell ref="L952:L956"/>
    <mergeCell ref="A947:A951"/>
    <mergeCell ref="K947:K951"/>
    <mergeCell ref="I947:I951"/>
    <mergeCell ref="J947:J951"/>
    <mergeCell ref="B947:B951"/>
    <mergeCell ref="H947:H951"/>
    <mergeCell ref="L942:L946"/>
    <mergeCell ref="I942:I946"/>
    <mergeCell ref="H942:H946"/>
    <mergeCell ref="J942:J946"/>
    <mergeCell ref="B942:B946"/>
    <mergeCell ref="K942:K946"/>
    <mergeCell ref="A937:A941"/>
    <mergeCell ref="K937:K941"/>
    <mergeCell ref="H937:H941"/>
    <mergeCell ref="B937:B941"/>
    <mergeCell ref="J937:J941"/>
    <mergeCell ref="J927:J931"/>
    <mergeCell ref="L907:L911"/>
    <mergeCell ref="A912:A916"/>
    <mergeCell ref="I912:I916"/>
    <mergeCell ref="K912:K916"/>
    <mergeCell ref="J912:J916"/>
    <mergeCell ref="H912:H916"/>
    <mergeCell ref="H917:H921"/>
    <mergeCell ref="K917:K921"/>
    <mergeCell ref="H907:H911"/>
    <mergeCell ref="A932:A936"/>
    <mergeCell ref="J932:J936"/>
    <mergeCell ref="I932:I936"/>
    <mergeCell ref="H932:H936"/>
    <mergeCell ref="B932:B936"/>
    <mergeCell ref="K932:K936"/>
    <mergeCell ref="H927:H931"/>
    <mergeCell ref="I927:I931"/>
    <mergeCell ref="K927:K931"/>
    <mergeCell ref="A927:A931"/>
    <mergeCell ref="A922:A926"/>
    <mergeCell ref="H922:H926"/>
    <mergeCell ref="B922:B926"/>
    <mergeCell ref="K922:K926"/>
    <mergeCell ref="J922:J926"/>
    <mergeCell ref="B927:B931"/>
    <mergeCell ref="L922:L926"/>
    <mergeCell ref="I922:I926"/>
    <mergeCell ref="L912:L916"/>
    <mergeCell ref="B912:B916"/>
    <mergeCell ref="A917:A921"/>
    <mergeCell ref="I917:I921"/>
    <mergeCell ref="B917:B921"/>
    <mergeCell ref="J917:J921"/>
    <mergeCell ref="L917:L921"/>
    <mergeCell ref="A907:A911"/>
    <mergeCell ref="B907:B911"/>
    <mergeCell ref="K907:K911"/>
    <mergeCell ref="A892:A896"/>
    <mergeCell ref="L892:L896"/>
    <mergeCell ref="I892:I896"/>
    <mergeCell ref="J897:J901"/>
    <mergeCell ref="I897:I901"/>
    <mergeCell ref="H892:H896"/>
    <mergeCell ref="K892:K896"/>
    <mergeCell ref="A897:A901"/>
    <mergeCell ref="K897:K901"/>
    <mergeCell ref="A872:A876"/>
    <mergeCell ref="K872:K876"/>
    <mergeCell ref="J872:J876"/>
    <mergeCell ref="I872:I876"/>
    <mergeCell ref="B872:B876"/>
    <mergeCell ref="H872:H876"/>
    <mergeCell ref="A877:A881"/>
    <mergeCell ref="H882:H886"/>
    <mergeCell ref="B892:B896"/>
    <mergeCell ref="J892:J896"/>
    <mergeCell ref="L897:L901"/>
    <mergeCell ref="K902:K906"/>
    <mergeCell ref="L902:L906"/>
    <mergeCell ref="A902:A906"/>
    <mergeCell ref="B902:B906"/>
    <mergeCell ref="H902:H906"/>
    <mergeCell ref="H897:H901"/>
    <mergeCell ref="B897:B901"/>
    <mergeCell ref="L887:L891"/>
    <mergeCell ref="B887:B891"/>
    <mergeCell ref="I887:I891"/>
    <mergeCell ref="A887:A891"/>
    <mergeCell ref="H887:H891"/>
    <mergeCell ref="J887:J891"/>
    <mergeCell ref="K887:K891"/>
    <mergeCell ref="L882:L886"/>
    <mergeCell ref="J882:J886"/>
    <mergeCell ref="K882:K886"/>
    <mergeCell ref="I882:I886"/>
    <mergeCell ref="A882:A886"/>
    <mergeCell ref="B882:B886"/>
    <mergeCell ref="L872:L876"/>
    <mergeCell ref="B877:B881"/>
    <mergeCell ref="H877:H881"/>
    <mergeCell ref="I877:I881"/>
    <mergeCell ref="K877:K881"/>
    <mergeCell ref="L877:L881"/>
    <mergeCell ref="J877:J881"/>
    <mergeCell ref="A862:A866"/>
    <mergeCell ref="L867:L871"/>
    <mergeCell ref="I867:I871"/>
    <mergeCell ref="A867:A871"/>
    <mergeCell ref="J867:J871"/>
    <mergeCell ref="B867:B871"/>
    <mergeCell ref="K867:K871"/>
    <mergeCell ref="H867:H871"/>
    <mergeCell ref="B862:B866"/>
    <mergeCell ref="K862:K866"/>
    <mergeCell ref="H862:H866"/>
    <mergeCell ref="J862:J866"/>
    <mergeCell ref="I862:I866"/>
    <mergeCell ref="L862:L866"/>
    <mergeCell ref="A857:A861"/>
    <mergeCell ref="J857:J861"/>
    <mergeCell ref="B857:B861"/>
    <mergeCell ref="K857:K861"/>
    <mergeCell ref="L857:L861"/>
    <mergeCell ref="H857:H861"/>
    <mergeCell ref="A847:A851"/>
    <mergeCell ref="B847:B851"/>
    <mergeCell ref="L852:L856"/>
    <mergeCell ref="J852:J856"/>
    <mergeCell ref="I852:I856"/>
    <mergeCell ref="H852:H856"/>
    <mergeCell ref="K852:K856"/>
    <mergeCell ref="A852:A856"/>
    <mergeCell ref="B852:B856"/>
    <mergeCell ref="H847:H851"/>
    <mergeCell ref="I847:I851"/>
    <mergeCell ref="K847:K851"/>
    <mergeCell ref="L847:L851"/>
    <mergeCell ref="J847:J851"/>
    <mergeCell ref="I857:I861"/>
    <mergeCell ref="L837:L841"/>
    <mergeCell ref="H842:H846"/>
    <mergeCell ref="I842:I846"/>
    <mergeCell ref="L842:L846"/>
    <mergeCell ref="J842:J846"/>
    <mergeCell ref="A842:A846"/>
    <mergeCell ref="B842:B846"/>
    <mergeCell ref="K842:K846"/>
    <mergeCell ref="A837:A841"/>
    <mergeCell ref="H837:H841"/>
    <mergeCell ref="K837:K841"/>
    <mergeCell ref="B837:B841"/>
    <mergeCell ref="I827:I831"/>
    <mergeCell ref="J827:J831"/>
    <mergeCell ref="K827:K831"/>
    <mergeCell ref="B827:B831"/>
    <mergeCell ref="I822:I826"/>
    <mergeCell ref="L822:L826"/>
    <mergeCell ref="B822:B826"/>
    <mergeCell ref="L832:L836"/>
    <mergeCell ref="A832:A836"/>
    <mergeCell ref="I832:I836"/>
    <mergeCell ref="B832:B836"/>
    <mergeCell ref="K832:K836"/>
    <mergeCell ref="H832:H836"/>
    <mergeCell ref="J832:J836"/>
    <mergeCell ref="J822:J826"/>
    <mergeCell ref="L827:L831"/>
    <mergeCell ref="A822:A826"/>
    <mergeCell ref="K822:K826"/>
    <mergeCell ref="H822:H826"/>
    <mergeCell ref="A827:A831"/>
    <mergeCell ref="H827:H831"/>
    <mergeCell ref="K817:K821"/>
    <mergeCell ref="A817:A821"/>
    <mergeCell ref="H817:H821"/>
    <mergeCell ref="J817:J821"/>
    <mergeCell ref="I817:I821"/>
    <mergeCell ref="L817:L821"/>
    <mergeCell ref="B817:B821"/>
    <mergeCell ref="H812:H816"/>
    <mergeCell ref="L812:L816"/>
    <mergeCell ref="K812:K816"/>
    <mergeCell ref="J812:J816"/>
    <mergeCell ref="I812:I816"/>
    <mergeCell ref="A812:A816"/>
    <mergeCell ref="B812:B816"/>
    <mergeCell ref="H807:H811"/>
    <mergeCell ref="A807:A811"/>
    <mergeCell ref="I807:I811"/>
    <mergeCell ref="J807:J811"/>
    <mergeCell ref="L807:L811"/>
    <mergeCell ref="B807:B811"/>
    <mergeCell ref="K807:K811"/>
    <mergeCell ref="A797:A801"/>
    <mergeCell ref="K802:K806"/>
    <mergeCell ref="J802:J806"/>
    <mergeCell ref="I802:I806"/>
    <mergeCell ref="L802:L806"/>
    <mergeCell ref="A802:A806"/>
    <mergeCell ref="B802:B806"/>
    <mergeCell ref="H802:H806"/>
    <mergeCell ref="L792:L796"/>
    <mergeCell ref="K797:K801"/>
    <mergeCell ref="I797:I801"/>
    <mergeCell ref="H797:H801"/>
    <mergeCell ref="J797:J801"/>
    <mergeCell ref="B797:B801"/>
    <mergeCell ref="L797:L801"/>
    <mergeCell ref="B792:B796"/>
    <mergeCell ref="A792:A796"/>
    <mergeCell ref="K792:K796"/>
    <mergeCell ref="H792:H796"/>
    <mergeCell ref="J792:J796"/>
    <mergeCell ref="I792:I796"/>
    <mergeCell ref="K782:K786"/>
    <mergeCell ref="L782:L786"/>
    <mergeCell ref="A782:A786"/>
    <mergeCell ref="B782:B786"/>
    <mergeCell ref="H782:H786"/>
    <mergeCell ref="K787:K791"/>
    <mergeCell ref="A787:A791"/>
    <mergeCell ref="L787:L791"/>
    <mergeCell ref="H787:H791"/>
    <mergeCell ref="B787:B791"/>
    <mergeCell ref="A777:A781"/>
    <mergeCell ref="H777:H781"/>
    <mergeCell ref="B777:B781"/>
    <mergeCell ref="L777:L781"/>
    <mergeCell ref="K777:K781"/>
    <mergeCell ref="I777:I781"/>
    <mergeCell ref="J777:J781"/>
    <mergeCell ref="H772:H776"/>
    <mergeCell ref="J772:J776"/>
    <mergeCell ref="A772:A776"/>
    <mergeCell ref="B772:B776"/>
    <mergeCell ref="L772:L776"/>
    <mergeCell ref="K772:K776"/>
    <mergeCell ref="I772:I776"/>
    <mergeCell ref="H767:H771"/>
    <mergeCell ref="K767:K771"/>
    <mergeCell ref="A767:A771"/>
    <mergeCell ref="L767:L771"/>
    <mergeCell ref="I767:I771"/>
    <mergeCell ref="B767:B771"/>
    <mergeCell ref="J767:J771"/>
    <mergeCell ref="A762:A766"/>
    <mergeCell ref="L762:L766"/>
    <mergeCell ref="H762:H766"/>
    <mergeCell ref="J762:J766"/>
    <mergeCell ref="K762:K766"/>
    <mergeCell ref="B762:B766"/>
    <mergeCell ref="I762:I766"/>
    <mergeCell ref="K757:K761"/>
    <mergeCell ref="A757:A761"/>
    <mergeCell ref="B757:B761"/>
    <mergeCell ref="I757:I761"/>
    <mergeCell ref="H757:H761"/>
    <mergeCell ref="H752:H756"/>
    <mergeCell ref="B742:B746"/>
    <mergeCell ref="A742:A746"/>
    <mergeCell ref="L757:L761"/>
    <mergeCell ref="J757:J761"/>
    <mergeCell ref="A747:A751"/>
    <mergeCell ref="B747:B751"/>
    <mergeCell ref="L752:L756"/>
    <mergeCell ref="I752:I756"/>
    <mergeCell ref="K752:K756"/>
    <mergeCell ref="J752:J756"/>
    <mergeCell ref="A752:A756"/>
    <mergeCell ref="B752:B756"/>
    <mergeCell ref="L742:L746"/>
    <mergeCell ref="H747:H751"/>
    <mergeCell ref="J747:J751"/>
    <mergeCell ref="K747:K751"/>
    <mergeCell ref="L747:L751"/>
    <mergeCell ref="I747:I751"/>
    <mergeCell ref="J742:J746"/>
    <mergeCell ref="H742:H746"/>
    <mergeCell ref="I742:I746"/>
    <mergeCell ref="K742:K746"/>
    <mergeCell ref="A732:A736"/>
    <mergeCell ref="B737:B741"/>
    <mergeCell ref="A737:A741"/>
    <mergeCell ref="K737:K741"/>
    <mergeCell ref="L737:L741"/>
    <mergeCell ref="H737:H741"/>
    <mergeCell ref="K732:K736"/>
    <mergeCell ref="H732:H736"/>
    <mergeCell ref="J732:J736"/>
    <mergeCell ref="B732:B736"/>
    <mergeCell ref="L732:L736"/>
    <mergeCell ref="I732:I736"/>
    <mergeCell ref="A722:A726"/>
    <mergeCell ref="B727:B731"/>
    <mergeCell ref="L727:L731"/>
    <mergeCell ref="A727:A731"/>
    <mergeCell ref="K727:K731"/>
    <mergeCell ref="H727:H731"/>
    <mergeCell ref="K722:K726"/>
    <mergeCell ref="L722:L726"/>
    <mergeCell ref="B722:B726"/>
    <mergeCell ref="H722:H726"/>
    <mergeCell ref="I722:I726"/>
    <mergeCell ref="J722:J726"/>
    <mergeCell ref="A712:A716"/>
    <mergeCell ref="J717:J721"/>
    <mergeCell ref="B712:B716"/>
    <mergeCell ref="K717:K721"/>
    <mergeCell ref="A717:A721"/>
    <mergeCell ref="I717:I721"/>
    <mergeCell ref="L717:L721"/>
    <mergeCell ref="H717:H721"/>
    <mergeCell ref="B717:B721"/>
    <mergeCell ref="K712:K716"/>
    <mergeCell ref="J712:J716"/>
    <mergeCell ref="H712:H716"/>
    <mergeCell ref="L712:L716"/>
    <mergeCell ref="I712:I716"/>
    <mergeCell ref="A702:A706"/>
    <mergeCell ref="A707:A711"/>
    <mergeCell ref="L707:L711"/>
    <mergeCell ref="B707:B711"/>
    <mergeCell ref="H707:H711"/>
    <mergeCell ref="I707:I711"/>
    <mergeCell ref="J707:J711"/>
    <mergeCell ref="K707:K711"/>
    <mergeCell ref="J702:J706"/>
    <mergeCell ref="I702:I706"/>
    <mergeCell ref="L702:L706"/>
    <mergeCell ref="K702:K706"/>
    <mergeCell ref="B702:B706"/>
    <mergeCell ref="H702:H706"/>
    <mergeCell ref="A692:A696"/>
    <mergeCell ref="I697:I701"/>
    <mergeCell ref="B697:B701"/>
    <mergeCell ref="J697:J701"/>
    <mergeCell ref="H697:H701"/>
    <mergeCell ref="I687:I691"/>
    <mergeCell ref="L697:L701"/>
    <mergeCell ref="K697:K701"/>
    <mergeCell ref="A697:A701"/>
    <mergeCell ref="J692:J696"/>
    <mergeCell ref="L692:L696"/>
    <mergeCell ref="B692:B696"/>
    <mergeCell ref="K692:K696"/>
    <mergeCell ref="H692:H696"/>
    <mergeCell ref="I692:I696"/>
    <mergeCell ref="H687:H691"/>
    <mergeCell ref="L687:L691"/>
    <mergeCell ref="A687:A691"/>
    <mergeCell ref="K687:K691"/>
    <mergeCell ref="B687:B691"/>
    <mergeCell ref="J687:J691"/>
    <mergeCell ref="H682:H686"/>
    <mergeCell ref="K682:K686"/>
    <mergeCell ref="J682:J686"/>
    <mergeCell ref="I682:I686"/>
    <mergeCell ref="L682:L686"/>
    <mergeCell ref="A682:A686"/>
    <mergeCell ref="B682:B686"/>
    <mergeCell ref="A667:A671"/>
    <mergeCell ref="B667:B671"/>
    <mergeCell ref="J677:J681"/>
    <mergeCell ref="L677:L681"/>
    <mergeCell ref="K677:K681"/>
    <mergeCell ref="H677:H681"/>
    <mergeCell ref="B677:B681"/>
    <mergeCell ref="A677:A681"/>
    <mergeCell ref="I677:I681"/>
    <mergeCell ref="L672:L676"/>
    <mergeCell ref="I672:I676"/>
    <mergeCell ref="H672:H676"/>
    <mergeCell ref="A672:A676"/>
    <mergeCell ref="K672:K676"/>
    <mergeCell ref="B672:B676"/>
    <mergeCell ref="J672:J676"/>
    <mergeCell ref="H667:H671"/>
    <mergeCell ref="K667:K671"/>
    <mergeCell ref="I667:I671"/>
    <mergeCell ref="J667:J671"/>
    <mergeCell ref="B662:B666"/>
    <mergeCell ref="L662:L666"/>
    <mergeCell ref="I662:I666"/>
    <mergeCell ref="J662:J666"/>
    <mergeCell ref="H662:H666"/>
    <mergeCell ref="H647:H651"/>
    <mergeCell ref="L667:L671"/>
    <mergeCell ref="A662:A666"/>
    <mergeCell ref="K662:K666"/>
    <mergeCell ref="L657:L661"/>
    <mergeCell ref="I657:I661"/>
    <mergeCell ref="J657:J661"/>
    <mergeCell ref="K657:K661"/>
    <mergeCell ref="A657:A661"/>
    <mergeCell ref="H657:H661"/>
    <mergeCell ref="B657:B661"/>
    <mergeCell ref="A647:A651"/>
    <mergeCell ref="L647:L651"/>
    <mergeCell ref="B647:B651"/>
    <mergeCell ref="K647:K651"/>
    <mergeCell ref="K652:K656"/>
    <mergeCell ref="L652:L656"/>
    <mergeCell ref="A652:A656"/>
    <mergeCell ref="H652:H656"/>
    <mergeCell ref="B652:B656"/>
    <mergeCell ref="A642:A646"/>
    <mergeCell ref="I642:I646"/>
    <mergeCell ref="K642:K646"/>
    <mergeCell ref="J642:J646"/>
    <mergeCell ref="B642:B646"/>
    <mergeCell ref="L642:L646"/>
    <mergeCell ref="H642:H646"/>
    <mergeCell ref="L632:L636"/>
    <mergeCell ref="J637:J641"/>
    <mergeCell ref="I637:I641"/>
    <mergeCell ref="B637:B641"/>
    <mergeCell ref="H637:H641"/>
    <mergeCell ref="A637:A641"/>
    <mergeCell ref="K637:K641"/>
    <mergeCell ref="L637:L641"/>
    <mergeCell ref="H632:H636"/>
    <mergeCell ref="B632:B636"/>
    <mergeCell ref="A632:A636"/>
    <mergeCell ref="J632:J636"/>
    <mergeCell ref="K632:K636"/>
    <mergeCell ref="I632:I636"/>
    <mergeCell ref="A627:A631"/>
    <mergeCell ref="J627:J631"/>
    <mergeCell ref="B627:B631"/>
    <mergeCell ref="H627:H631"/>
    <mergeCell ref="A622:A626"/>
    <mergeCell ref="B612:B616"/>
    <mergeCell ref="H617:H621"/>
    <mergeCell ref="L627:L631"/>
    <mergeCell ref="I627:I631"/>
    <mergeCell ref="K627:K631"/>
    <mergeCell ref="J622:J626"/>
    <mergeCell ref="B622:B626"/>
    <mergeCell ref="L622:L626"/>
    <mergeCell ref="K622:K626"/>
    <mergeCell ref="I622:I626"/>
    <mergeCell ref="H622:H626"/>
    <mergeCell ref="K617:K621"/>
    <mergeCell ref="A617:A621"/>
    <mergeCell ref="I617:I621"/>
    <mergeCell ref="L617:L621"/>
    <mergeCell ref="J617:J621"/>
    <mergeCell ref="B617:B621"/>
    <mergeCell ref="H607:H611"/>
    <mergeCell ref="B607:B611"/>
    <mergeCell ref="L602:L606"/>
    <mergeCell ref="K602:K606"/>
    <mergeCell ref="I602:I606"/>
    <mergeCell ref="J602:J606"/>
    <mergeCell ref="A607:A611"/>
    <mergeCell ref="K607:K611"/>
    <mergeCell ref="L607:L611"/>
    <mergeCell ref="K612:K616"/>
    <mergeCell ref="J612:J616"/>
    <mergeCell ref="H612:H616"/>
    <mergeCell ref="I612:I616"/>
    <mergeCell ref="A612:A616"/>
    <mergeCell ref="L612:L616"/>
    <mergeCell ref="A602:A606"/>
    <mergeCell ref="B602:B606"/>
    <mergeCell ref="H602:H606"/>
    <mergeCell ref="L592:L596"/>
    <mergeCell ref="A592:A596"/>
    <mergeCell ref="H597:H601"/>
    <mergeCell ref="L597:L601"/>
    <mergeCell ref="K597:K601"/>
    <mergeCell ref="A597:A601"/>
    <mergeCell ref="B597:B601"/>
    <mergeCell ref="A587:A591"/>
    <mergeCell ref="K592:K596"/>
    <mergeCell ref="B592:B596"/>
    <mergeCell ref="J592:J596"/>
    <mergeCell ref="H592:H596"/>
    <mergeCell ref="I592:I596"/>
    <mergeCell ref="B587:B591"/>
    <mergeCell ref="K587:K591"/>
    <mergeCell ref="L587:L591"/>
    <mergeCell ref="H587:H591"/>
    <mergeCell ref="I587:I591"/>
    <mergeCell ref="J587:J591"/>
    <mergeCell ref="A567:A571"/>
    <mergeCell ref="J557:J561"/>
    <mergeCell ref="I557:I561"/>
    <mergeCell ref="L557:L561"/>
    <mergeCell ref="H557:H561"/>
    <mergeCell ref="B557:B561"/>
    <mergeCell ref="A557:A561"/>
    <mergeCell ref="K557:K561"/>
    <mergeCell ref="A562:A566"/>
    <mergeCell ref="L562:L566"/>
    <mergeCell ref="J582:J586"/>
    <mergeCell ref="I582:I586"/>
    <mergeCell ref="K582:K586"/>
    <mergeCell ref="L582:L586"/>
    <mergeCell ref="A582:A586"/>
    <mergeCell ref="B582:B586"/>
    <mergeCell ref="H582:H586"/>
    <mergeCell ref="L572:L576"/>
    <mergeCell ref="A572:A576"/>
    <mergeCell ref="K577:K581"/>
    <mergeCell ref="B577:B581"/>
    <mergeCell ref="H577:H581"/>
    <mergeCell ref="L577:L581"/>
    <mergeCell ref="A577:A581"/>
    <mergeCell ref="K572:K576"/>
    <mergeCell ref="B572:B576"/>
    <mergeCell ref="H572:H576"/>
    <mergeCell ref="J572:J576"/>
    <mergeCell ref="I572:I576"/>
    <mergeCell ref="A552:A556"/>
    <mergeCell ref="H552:H556"/>
    <mergeCell ref="L552:L556"/>
    <mergeCell ref="J552:J556"/>
    <mergeCell ref="K552:K556"/>
    <mergeCell ref="B552:B556"/>
    <mergeCell ref="I552:I556"/>
    <mergeCell ref="A542:A546"/>
    <mergeCell ref="B542:B546"/>
    <mergeCell ref="I547:I551"/>
    <mergeCell ref="B547:B551"/>
    <mergeCell ref="J547:J551"/>
    <mergeCell ref="L547:L551"/>
    <mergeCell ref="A547:A551"/>
    <mergeCell ref="K547:K551"/>
    <mergeCell ref="H547:H551"/>
    <mergeCell ref="L567:L571"/>
    <mergeCell ref="H542:H546"/>
    <mergeCell ref="K542:K546"/>
    <mergeCell ref="J542:J546"/>
    <mergeCell ref="I542:I546"/>
    <mergeCell ref="L542:L546"/>
    <mergeCell ref="I562:I566"/>
    <mergeCell ref="K562:K566"/>
    <mergeCell ref="B562:B566"/>
    <mergeCell ref="H562:H566"/>
    <mergeCell ref="J562:J566"/>
    <mergeCell ref="I567:I571"/>
    <mergeCell ref="J567:J571"/>
    <mergeCell ref="B567:B571"/>
    <mergeCell ref="H567:H571"/>
    <mergeCell ref="K567:K571"/>
    <mergeCell ref="K512:K516"/>
    <mergeCell ref="L512:L516"/>
    <mergeCell ref="I512:I516"/>
    <mergeCell ref="H532:H536"/>
    <mergeCell ref="K532:K536"/>
    <mergeCell ref="A532:A536"/>
    <mergeCell ref="B532:B536"/>
    <mergeCell ref="L532:L536"/>
    <mergeCell ref="L527:L531"/>
    <mergeCell ref="B527:B531"/>
    <mergeCell ref="B537:B541"/>
    <mergeCell ref="H537:H541"/>
    <mergeCell ref="A537:A541"/>
    <mergeCell ref="K537:K541"/>
    <mergeCell ref="K527:K531"/>
    <mergeCell ref="A527:A531"/>
    <mergeCell ref="J527:J531"/>
    <mergeCell ref="I527:I531"/>
    <mergeCell ref="H527:H531"/>
    <mergeCell ref="L537:L541"/>
    <mergeCell ref="J537:J541"/>
    <mergeCell ref="I537:I541"/>
    <mergeCell ref="L507:L511"/>
    <mergeCell ref="A507:A511"/>
    <mergeCell ref="H507:H511"/>
    <mergeCell ref="I507:I511"/>
    <mergeCell ref="B507:B511"/>
    <mergeCell ref="K507:K511"/>
    <mergeCell ref="J507:J511"/>
    <mergeCell ref="J502:J506"/>
    <mergeCell ref="H502:H506"/>
    <mergeCell ref="L502:L506"/>
    <mergeCell ref="B502:B506"/>
    <mergeCell ref="I502:I506"/>
    <mergeCell ref="A502:A506"/>
    <mergeCell ref="K502:K506"/>
    <mergeCell ref="L517:L521"/>
    <mergeCell ref="A522:A526"/>
    <mergeCell ref="H522:H526"/>
    <mergeCell ref="I522:I526"/>
    <mergeCell ref="J522:J526"/>
    <mergeCell ref="K522:K526"/>
    <mergeCell ref="L522:L526"/>
    <mergeCell ref="B522:B526"/>
    <mergeCell ref="H517:H521"/>
    <mergeCell ref="K517:K521"/>
    <mergeCell ref="J517:J521"/>
    <mergeCell ref="B517:B521"/>
    <mergeCell ref="A517:A521"/>
    <mergeCell ref="I517:I521"/>
    <mergeCell ref="H512:H516"/>
    <mergeCell ref="A512:A516"/>
    <mergeCell ref="B512:B516"/>
    <mergeCell ref="J512:J516"/>
  </mergeCells>
  <conditionalFormatting sqref="J837">
    <cfRule type="cellIs" dxfId="56" priority="18" operator="notEqual">
      <formula>$J838+$J839+$J840</formula>
    </cfRule>
  </conditionalFormatting>
  <conditionalFormatting sqref="J737">
    <cfRule type="cellIs" dxfId="55" priority="19" operator="notEqual">
      <formula>$J738+$J739+$J740</formula>
    </cfRule>
  </conditionalFormatting>
  <conditionalFormatting sqref="J607">
    <cfRule type="cellIs" dxfId="54" priority="20" operator="notEqual">
      <formula>$J608+$J609+$J610</formula>
    </cfRule>
  </conditionalFormatting>
  <conditionalFormatting sqref="J597">
    <cfRule type="cellIs" dxfId="53" priority="21" operator="notEqual">
      <formula>$J598+$J599+$J600</formula>
    </cfRule>
  </conditionalFormatting>
  <conditionalFormatting sqref="J182">
    <cfRule type="cellIs" dxfId="52" priority="22" operator="notEqual">
      <formula>$J183+$J184+$J185</formula>
    </cfRule>
  </conditionalFormatting>
  <conditionalFormatting sqref="E788:F791 E783:F786 E728:F731 E648:F651 D848:D850 C847:C850 C851:D851 C852:C981 D758:D760 C761:D761 D753:D756 C752:C760 D743:D745 C746:D746 D733:D735 C732:C735 C736:D736 D728:D730 C727:C730 C731:D731 D723:D725 C722:C725 C726:D726 D693:D695 C692:C695 C696:D696 D688:D690 C687:C690 C691:D691 D683:D685 C682:C685 C686:D686 D818:D820 C817:C820 C821:D821 D608:D610 C607:C610 D603:D605 D613:D615 C602:C605 C612:C615 D623:D625 D628:D630 D638:D640 D653:D655 C627:C630 C637:C640 C652:C655 D598:D600 D633:D635 D648:D650 D643:D645 D658:D660 C597:C600 C632:C635 C647:C650 C642:C645 C657:C660 D663:D665 D668:D670 D673:D675 D678:D680 D703:D705 D713:D715 D718:D720 C662:C665 C667:C670 C672:C675 C677:C680 C717:C720 D748:D750 C747:C750 D763:D765 D768:D770 D773:D775 D778:D780 D783:D785 D788:D790 D793:D795 D798:D800 D803:D805 D808:D810 C762:C765 C767:C770 C772:C775 C777:C780 C782:C785 C787:C790 C792:C795 C797:C800 C802:C805 C807:C810 D813:D815 D823:D825 D828:D830 D833:D835 D838:D840 D843:D845 C812:C815 C822:C825 C827:C830 C832:C835 C837:C840 C842:C845 D618:D621 D698:D701 D708:D711 D738:D741 C611:D611 C606:D606 C616:D616 C617:C625 C626:D626 C631:D631 C641:D641 C656:D656 C601:D601 C636:D636 C651:D651 C646:D646 C661:D661 C666:D666 C671:D671 C676:D676 C681:D681 C697:C705 C706:D706 C707:C715 C716:D716 C721:D721 C737:C745 C751:D751 C766:D766 C771:D771 C776:D776 C781:D781 C786:D786 C791:D791 C796:D796 C801:D801 C806:D806 C811:D811 C816:D816 C826:D826 C831:D831 C836:D836 C841:D841 C846:D846 E208:F211 E533:F536 E433:F436 E428:F431 E288:F291 E223:F226 E218:F221 D143:D145 E148:F151 C146:D146 D498:D500 C497:C500 C501:D501 D493:D495 C492:C495 C496:D496 D488:D490 C487:C490 C491:D491 D388:D390 C387:C390 D383:D385 C382:C385 C391:D391 C386:D386 D38:D41 D43:D46 D48:D51 D53:D56 D58:D61 D78:D81 D63:D66 D83:D86 D68:D71 D73:D76 D88:D90 C32:C90 D93:D95 D103:D105 C92:C95 C102:C105 D98:D100 D108:D110 C97:C100 C107:C110 C111:D116 D138:D140 C137:C140 D118:D120 C117:C120 C142:C145 D123:D125 D148:D150 D158:D160 C122:C125 C147:C150 C152:C160 D133:D135 D163:D165 C127:C135 C162:C165 D168:D170 D333:D335 C167:C170 C332:C335 D173:D175 D258:D260 D338:D340 C172:C175 C242:C260 C337:C340 D178:D180 D263:D265 D343:D345 D273:D275 D353:D355 C177:C180 C262:C265 C342:C345 C272:C275 C352:C355 D183:D185 D268:D270 D348:D350 D193:D195 D358:D360 C182:C185 C267:C270 C347:C350 C357:C360 D363:D365 D228:D230 D303:D305 C362:C365 C227:C230 C302:C305 D203:D205 D278:D280 C231:D236 C306:D311 C277:C280 D208:D210 D283:D285 D238:D240 D313:D315 D393:D395 D218:D220 D293:D295 D373:D375 D323:D325 D403:D405 C207:C210 C282:C285 C237:C240 C312:C315 C392:C395 C217:C220 C292:C295 C372:C375 C322:C325 C402:C405 D213:D215 D288:D290 D368:D370 D318:D320 D398:D400 D223:D225 D298:D300 D378:D380 D328:D330 C212:C215 C287:C290 C367:C370 C317:C320 C397:C400 C222:C225 C297:C300 C377:C380 C327:C330 D408:D410 C407:C410 D438:D440 C437:C440 D443:D445 D468:D470 C442:C445 C467:C470 C471:D481 D563:D565 C557:C565 D483:D485 D508:D510 C482:C485 D573:D575 D583:D585 D588:D590 D528:D530 C587:C590 C527:C530 D533:D535 C532:C535 D593:D595 D538:D540 D518:D520 C592:C595 C537:C540 C517:C520 D513:D515 D543:D545 D523:D525 D553:D555 C512:C515 C542:C545 C522:C525 D413:D416 D418:F421 D448:F451 D503:D506 D548:D551 D568:D571 D578:F581 D188:D191 D198:F201 C91:D91 C96:D96 C106:D106 C101:D101 C141:D141 C121:D121 C126:D126 C151:D151 C161:D161 C136:D136 C166:D166 C171:D171 C336:D336 C176:D176 C261:D261 C341:D341 C181:D181 C266:D266 C346:D346 C187:C195 C276:D276 C356:D356 C186:D186 C271:D271 C351:D351 C196:D196 C361:D361 C197:C205 C366:D366 C206:D206 C281:D281 C211:D211 C286:D286 C241:D241 C316:D316 C396:D396 C221:D221 C296:D296 C376:D376 C326:D326 C406:D406 C216:D216 C291:D291 C371:D371 C321:D321 C401:D401 C226:D226 C301:D301 C381:D381 C331:D331 C411:D411 C412:C435 C436:D436 C441:D441 C446:D446 C466:D466 C447:C465 D558:D561 C566:D566 C486:D486 C567:C575 C511:D511 C577:C585 C502:C510 C576:D576 C586:D586 C591:D591 C531:D531 C536:D536 C596:D596 C541:D541 C521:D521 C547:C555 C516:D516 C546:D546 C526:D526 C556:D556 G32:G1031 D127:D131 D152:D156 D242:D256 D453:D465 D422:D435">
    <cfRule type="expression" dxfId="51" priority="23">
      <formula>#REF!="Всего"</formula>
    </cfRule>
  </conditionalFormatting>
  <conditionalFormatting sqref="J1027">
    <cfRule type="cellIs" dxfId="50" priority="50" operator="notEqual">
      <formula>$J1028+$J1029+$J1030</formula>
    </cfRule>
  </conditionalFormatting>
  <conditionalFormatting sqref="J1017">
    <cfRule type="cellIs" dxfId="49" priority="51" operator="notEqual">
      <formula>$J1018+$J1019+$J1020</formula>
    </cfRule>
  </conditionalFormatting>
  <conditionalFormatting sqref="J987">
    <cfRule type="cellIs" dxfId="48" priority="55" operator="notEqual">
      <formula>$J988+$J989+$J990</formula>
    </cfRule>
  </conditionalFormatting>
  <conditionalFormatting sqref="J907">
    <cfRule type="cellIs" dxfId="47" priority="59" operator="notEqual">
      <formula>$J908+$J909+$J910</formula>
    </cfRule>
  </conditionalFormatting>
  <conditionalFormatting sqref="J727">
    <cfRule type="cellIs" dxfId="46" priority="71" operator="notEqual">
      <formula>$J728+$J729+$J730</formula>
    </cfRule>
  </conditionalFormatting>
  <conditionalFormatting sqref="J652">
    <cfRule type="cellIs" dxfId="45" priority="74" operator="notEqual">
      <formula>$J653+$J654+$J655</formula>
    </cfRule>
  </conditionalFormatting>
  <conditionalFormatting sqref="J577">
    <cfRule type="cellIs" dxfId="44" priority="77" operator="notEqual">
      <formula>$J578+$J579+$J580</formula>
    </cfRule>
  </conditionalFormatting>
  <conditionalFormatting sqref="J532">
    <cfRule type="cellIs" dxfId="43" priority="80" operator="notEqual">
      <formula>$J533+$J534+$J535</formula>
    </cfRule>
  </conditionalFormatting>
  <conditionalFormatting sqref="J462">
    <cfRule type="cellIs" dxfId="42" priority="83" operator="notEqual">
      <formula>$J463+$J464+$J465</formula>
    </cfRule>
  </conditionalFormatting>
  <conditionalFormatting sqref="J467">
    <cfRule type="cellIs" dxfId="41" priority="84" operator="notEqual">
      <formula>$J468+$J469+$J470</formula>
    </cfRule>
  </conditionalFormatting>
  <conditionalFormatting sqref="J472">
    <cfRule type="cellIs" dxfId="40" priority="85" operator="notEqual">
      <formula>$J473+$J474+$J475</formula>
    </cfRule>
  </conditionalFormatting>
  <conditionalFormatting sqref="J447">
    <cfRule type="cellIs" dxfId="39" priority="86" operator="notEqual">
      <formula>$J448+$J449+$J450</formula>
    </cfRule>
  </conditionalFormatting>
  <conditionalFormatting sqref="J432">
    <cfRule type="cellIs" dxfId="38" priority="89" operator="notEqual">
      <formula>$J433+$J434+$J435</formula>
    </cfRule>
  </conditionalFormatting>
  <conditionalFormatting sqref="J392">
    <cfRule type="cellIs" dxfId="37" priority="94" operator="notEqual">
      <formula>$J393+$J394+$J395</formula>
    </cfRule>
  </conditionalFormatting>
  <conditionalFormatting sqref="J382">
    <cfRule type="cellIs" dxfId="36" priority="95" operator="notEqual">
      <formula>$J383+$J384+$J385</formula>
    </cfRule>
  </conditionalFormatting>
  <conditionalFormatting sqref="J322">
    <cfRule type="cellIs" dxfId="35" priority="98" operator="notEqual">
      <formula>$J323+$J324+$J325</formula>
    </cfRule>
  </conditionalFormatting>
  <conditionalFormatting sqref="J287">
    <cfRule type="cellIs" dxfId="34" priority="103" operator="notEqual">
      <formula>$J288+$J289+$J290</formula>
    </cfRule>
  </conditionalFormatting>
  <conditionalFormatting sqref="J222">
    <cfRule type="cellIs" dxfId="33" priority="104" operator="notEqual">
      <formula>$J223+$J224+$J225</formula>
    </cfRule>
  </conditionalFormatting>
  <conditionalFormatting sqref="J147">
    <cfRule type="cellIs" dxfId="32" priority="107" operator="notEqual">
      <formula>$J148+$J149+$J150</formula>
    </cfRule>
  </conditionalFormatting>
  <conditionalFormatting sqref="J567">
    <cfRule type="cellIs" dxfId="31" priority="110" operator="notEqual">
      <formula>$J568+$J569+$J570</formula>
    </cfRule>
  </conditionalFormatting>
  <conditionalFormatting sqref="J442">
    <cfRule type="cellIs" dxfId="30" priority="111" operator="notEqual">
      <formula>$J443+$J444+$J445</formula>
    </cfRule>
  </conditionalFormatting>
  <conditionalFormatting sqref="J402">
    <cfRule type="cellIs" dxfId="29" priority="112" operator="notEqual">
      <formula>$J403+$J404+$J405</formula>
    </cfRule>
  </conditionalFormatting>
  <conditionalFormatting sqref="J197">
    <cfRule type="cellIs" dxfId="28" priority="114" operator="notEqual">
      <formula>$J198+$J199+$J200</formula>
    </cfRule>
  </conditionalFormatting>
  <conditionalFormatting sqref="J452">
    <cfRule type="cellIs" dxfId="27" priority="124" operator="notEqual">
      <formula>$J453+$J454+$J455</formula>
    </cfRule>
  </conditionalFormatting>
  <conditionalFormatting sqref="J417">
    <cfRule type="cellIs" dxfId="26" priority="125" operator="notEqual">
      <formula>$J418+$J419+$J420</formula>
    </cfRule>
  </conditionalFormatting>
  <conditionalFormatting sqref="J367">
    <cfRule type="cellIs" dxfId="25" priority="127" operator="notEqual">
      <formula>$J368+$J369+$J370</formula>
    </cfRule>
  </conditionalFormatting>
  <conditionalFormatting sqref="J352">
    <cfRule type="cellIs" dxfId="24" priority="128" operator="notEqual">
      <formula>$J353+$J354+$J355</formula>
    </cfRule>
  </conditionalFormatting>
  <conditionalFormatting sqref="J307">
    <cfRule type="cellIs" dxfId="23" priority="130" operator="notEqual">
      <formula>$J308+$J309+$J310</formula>
    </cfRule>
  </conditionalFormatting>
  <conditionalFormatting sqref="J272">
    <cfRule type="cellIs" dxfId="22" priority="132" operator="notEqual">
      <formula>$J273+$J274+$J275</formula>
    </cfRule>
  </conditionalFormatting>
  <conditionalFormatting sqref="J87">
    <cfRule type="cellIs" dxfId="21" priority="134" operator="notEqual">
      <formula>$J88+$J89+$J90</formula>
    </cfRule>
  </conditionalFormatting>
  <conditionalFormatting sqref="J62">
    <cfRule type="cellIs" dxfId="20" priority="135" operator="notEqual">
      <formula>$J63+$J64+$J65</formula>
    </cfRule>
  </conditionalFormatting>
  <conditionalFormatting sqref="C7:C31 G22:G31 E24:F26 E19:F21 E12:F16">
    <cfRule type="expression" dxfId="19" priority="278">
      <formula>$C7="Всего"</formula>
    </cfRule>
  </conditionalFormatting>
  <conditionalFormatting sqref="C7:C11">
    <cfRule type="expression" dxfId="18" priority="280">
      <formula>$C7="Всего"</formula>
    </cfRule>
  </conditionalFormatting>
  <conditionalFormatting sqref="J767">
    <cfRule type="cellIs" dxfId="17" priority="282" operator="notEqual">
      <formula>$J768+$J769+$J770</formula>
    </cfRule>
  </conditionalFormatting>
  <conditionalFormatting sqref="J592">
    <cfRule type="cellIs" dxfId="16" priority="284" operator="notEqual">
      <formula>$J593+$J594+$J595</formula>
    </cfRule>
  </conditionalFormatting>
  <conditionalFormatting sqref="J347">
    <cfRule type="cellIs" dxfId="15" priority="290" operator="notEqual">
      <formula>$J348+$J349+$J350</formula>
    </cfRule>
  </conditionalFormatting>
  <conditionalFormatting sqref="J277">
    <cfRule type="cellIs" dxfId="14" priority="293" operator="notEqual">
      <formula>$J278+$J279+$J280</formula>
    </cfRule>
  </conditionalFormatting>
  <conditionalFormatting sqref="J37">
    <cfRule type="cellIs" dxfId="13" priority="297" operator="notEqual">
      <formula>$J38+$J39+$J40</formula>
    </cfRule>
  </conditionalFormatting>
  <conditionalFormatting sqref="D12:F12">
    <cfRule type="expression" dxfId="12" priority="300">
      <formula>$C12="Всего"</formula>
    </cfRule>
  </conditionalFormatting>
  <conditionalFormatting sqref="G12:G21 E19:F21">
    <cfRule type="expression" dxfId="11" priority="302">
      <formula>$C12="Всего"</formula>
    </cfRule>
  </conditionalFormatting>
  <conditionalFormatting sqref="C12:C21">
    <cfRule type="expression" dxfId="10" priority="303">
      <formula>$C12="Всего"</formula>
    </cfRule>
  </conditionalFormatting>
  <conditionalFormatting sqref="G21">
    <cfRule type="expression" dxfId="9" priority="304">
      <formula>$C21="Всего"</formula>
    </cfRule>
  </conditionalFormatting>
  <conditionalFormatting sqref="C21">
    <cfRule type="expression" dxfId="8" priority="305">
      <formula>$C21="Всего"</formula>
    </cfRule>
  </conditionalFormatting>
  <conditionalFormatting sqref="C26:C31">
    <cfRule type="expression" dxfId="7" priority="308">
      <formula>$C26="Всего"</formula>
    </cfRule>
  </conditionalFormatting>
  <conditionalFormatting sqref="G7:G21 E19:F21 D12:F16">
    <cfRule type="expression" dxfId="6" priority="309">
      <formula>$C7="Всего"</formula>
    </cfRule>
  </conditionalFormatting>
  <conditionalFormatting sqref="J837">
    <cfRule type="cellIs" dxfId="5" priority="13" operator="notEqual">
      <formula>$J838+$J839+$J840</formula>
    </cfRule>
  </conditionalFormatting>
  <conditionalFormatting sqref="J592">
    <cfRule type="cellIs" dxfId="4" priority="12" operator="notEqual">
      <formula>$J593+$J594+$J595</formula>
    </cfRule>
  </conditionalFormatting>
  <conditionalFormatting sqref="J207">
    <cfRule type="cellIs" dxfId="3" priority="4" operator="notEqual">
      <formula>$J208+$J209+$J210</formula>
    </cfRule>
  </conditionalFormatting>
  <conditionalFormatting sqref="D15:D16">
    <cfRule type="expression" dxfId="2" priority="3">
      <formula>$C15="Всего"</formula>
    </cfRule>
  </conditionalFormatting>
  <conditionalFormatting sqref="D13:F16">
    <cfRule type="expression" dxfId="1" priority="2">
      <formula>$C13="Всего"</formula>
    </cfRule>
  </conditionalFormatting>
  <conditionalFormatting sqref="D12:F12">
    <cfRule type="expression" dxfId="0" priority="1">
      <formula>$C12="Всего"</formula>
    </cfRule>
  </conditionalFormatting>
  <dataValidations count="2">
    <dataValidation operator="lessThanOrEqual" allowBlank="1" showInputMessage="1" showErrorMessage="1" sqref="E1032:E65141 E2:E6"/>
    <dataValidation type="decimal" operator="greaterThanOrEqual" allowBlank="1" showInputMessage="1" showErrorMessage="1" sqref="E912:F987 J7:J10 G142:G1031 E1022:F1027 E992:F1017 E907:F907 D7:D851 E7:G141 E142:F902">
      <formula1>0</formula1>
    </dataValidation>
  </dataValidations>
  <pageMargins left="0.70833331346511841" right="0.70833331346511841" top="0.74791663885116577" bottom="0.74791663885116577" header="0.31527778506278992" footer="0.31527778506278992"/>
  <pageSetup scale="80" orientation="landscape" errors="blank"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Мероприятия</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anufriev</dc:creator>
  <cp:lastModifiedBy>markov</cp:lastModifiedBy>
  <cp:lastPrinted>2022-08-15T14:29:05Z</cp:lastPrinted>
  <dcterms:created xsi:type="dcterms:W3CDTF">2019-05-21T11:58:51Z</dcterms:created>
  <dcterms:modified xsi:type="dcterms:W3CDTF">2022-08-15T14:33:02Z</dcterms:modified>
</cp:coreProperties>
</file>